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EO-UCT\interní dokumenty\metodika\Evidence pracovní doby\"/>
    </mc:Choice>
  </mc:AlternateContent>
  <bookViews>
    <workbookView xWindow="19044" yWindow="-108" windowWidth="21816" windowHeight="13176" activeTab="2"/>
  </bookViews>
  <sheets>
    <sheet name="POPIS" sheetId="4" r:id="rId1"/>
    <sheet name="DOTAZY" sheetId="6" r:id="rId2"/>
    <sheet name="EVIDENCE" sheetId="2" r:id="rId3"/>
  </sheets>
  <definedNames>
    <definedName name="_AKADEMIK">EVIDENCE!$Q$9</definedName>
    <definedName name="_DRUH_PV">EVIDENCE!$Q$10</definedName>
    <definedName name="_FPD_BEZ_SV" localSheetId="2">EVIDENCE!$C$3</definedName>
    <definedName name="_JAZYK">EVIDENCE!$A$1</definedName>
    <definedName name="_MESIC" localSheetId="2">EVIDENCE!$C$2</definedName>
    <definedName name="_NV_CERPANO" localSheetId="2">EVIDENCE!$N$54</definedName>
    <definedName name="_NV_MIN_MES" localSheetId="2">EVIDENCE!$R$12</definedName>
    <definedName name="_NV_MIN_MES_ZNAM">EVIDENCE!$Q$12</definedName>
    <definedName name="_ROK" localSheetId="2">EVIDENCE!$D$2</definedName>
    <definedName name="_TAB_DEN_D" localSheetId="2">EVIDENCE!$A$23:$A$53</definedName>
    <definedName name="_TAB_DEN_DDD" localSheetId="2">EVIDENCE!$B$23:$B$53</definedName>
    <definedName name="_UVAZEK_HOD_MES" localSheetId="2">EVIDENCE!$R$11</definedName>
    <definedName name="_UVAZEK_HOD_TYD" localSheetId="2">EVIDENCE!$G$11</definedName>
    <definedName name="_UVAZEK_KOEF" localSheetId="2">EVIDENCE!$K$11</definedName>
    <definedName name="_xlnm.Print_Area" localSheetId="1">DOTAZY!$B:$B,DOTAZY!$D:$D</definedName>
    <definedName name="_xlnm.Print_Area" localSheetId="2">EVIDENCE!$A$7:$S$67</definedName>
    <definedName name="_xlnm.Print_Area" localSheetId="0">POPIS!$B:$B,POPIS!$D:$D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" i="2" l="1"/>
  <c r="A66" i="2" l="1"/>
  <c r="V14" i="2" l="1"/>
  <c r="B6" i="2" l="1"/>
  <c r="U14" i="2" l="1"/>
  <c r="T14" i="2"/>
  <c r="Q9" i="2" l="1"/>
  <c r="AD4" i="2" s="1"/>
  <c r="AA2" i="2" l="1"/>
  <c r="N66" i="2"/>
  <c r="I66" i="2"/>
  <c r="A62" i="2"/>
  <c r="A56" i="2"/>
  <c r="O54" i="2"/>
  <c r="W14" i="2"/>
  <c r="A2" i="2"/>
  <c r="T13" i="2"/>
  <c r="S14" i="2"/>
  <c r="Q14" i="2"/>
  <c r="O14" i="2"/>
  <c r="M14" i="2"/>
  <c r="L15" i="2"/>
  <c r="K15" i="2"/>
  <c r="J15" i="2"/>
  <c r="I15" i="2"/>
  <c r="H15" i="2"/>
  <c r="G15" i="2"/>
  <c r="I14" i="2"/>
  <c r="K14" i="2"/>
  <c r="G14" i="2"/>
  <c r="I1" i="2"/>
  <c r="K1" i="2"/>
  <c r="F14" i="2"/>
  <c r="C14" i="2"/>
  <c r="A8" i="2"/>
  <c r="N10" i="2"/>
  <c r="N9" i="2"/>
  <c r="N7" i="2"/>
  <c r="A10" i="2"/>
  <c r="A7" i="2"/>
  <c r="M6" i="2"/>
  <c r="M5" i="2"/>
  <c r="M3" i="2"/>
  <c r="M2" i="2"/>
  <c r="W1" i="2"/>
  <c r="S1" i="2"/>
  <c r="M1" i="2"/>
  <c r="G1" i="2"/>
  <c r="E16" i="2" l="1"/>
  <c r="D16" i="2"/>
  <c r="F6" i="2" l="1"/>
  <c r="F5" i="2"/>
  <c r="F4" i="2"/>
  <c r="F3" i="2"/>
  <c r="F2" i="2"/>
  <c r="D1" i="2"/>
  <c r="C1" i="2"/>
  <c r="A14" i="2" l="1"/>
  <c r="W7" i="2" l="1"/>
  <c r="T12" i="2" l="1"/>
  <c r="B62" i="2" l="1"/>
  <c r="A15" i="2" l="1"/>
  <c r="AZ2" i="2" l="1"/>
  <c r="AB2" i="2" s="1"/>
  <c r="AZ3" i="2" l="1"/>
  <c r="AB3" i="2" s="1"/>
  <c r="AZ4" i="2" l="1"/>
  <c r="AB4" i="2" s="1"/>
  <c r="W54" i="2"/>
  <c r="AZ5" i="2" l="1"/>
  <c r="AB5" i="2" s="1"/>
  <c r="A23" i="2"/>
  <c r="AD23" i="2" l="1"/>
  <c r="U23" i="2"/>
  <c r="B23" i="2"/>
  <c r="C23" i="2" s="1"/>
  <c r="AZ6" i="2"/>
  <c r="AB6" i="2" s="1"/>
  <c r="A24" i="2"/>
  <c r="U24" i="2" s="1"/>
  <c r="L23" i="2" l="1"/>
  <c r="G23" i="2"/>
  <c r="J23" i="2"/>
  <c r="I23" i="2"/>
  <c r="K23" i="2"/>
  <c r="H23" i="2"/>
  <c r="AD24" i="2"/>
  <c r="B24" i="2"/>
  <c r="C24" i="2" s="1"/>
  <c r="AZ7" i="2"/>
  <c r="AZ8" i="2" s="1"/>
  <c r="AZ9" i="2" s="1"/>
  <c r="AZ10" i="2" s="1"/>
  <c r="AZ11" i="2" s="1"/>
  <c r="AZ12" i="2" s="1"/>
  <c r="AZ13" i="2" s="1"/>
  <c r="AZ14" i="2" s="1"/>
  <c r="AZ15" i="2" s="1"/>
  <c r="AZ16" i="2" s="1"/>
  <c r="AZ17" i="2" s="1"/>
  <c r="AZ18" i="2" s="1"/>
  <c r="AZ19" i="2" s="1"/>
  <c r="AZ20" i="2" s="1"/>
  <c r="AZ21" i="2" s="1"/>
  <c r="AZ22" i="2" s="1"/>
  <c r="AZ23" i="2" s="1"/>
  <c r="AB9" i="2"/>
  <c r="W9" i="2" s="1"/>
  <c r="A25" i="2"/>
  <c r="U25" i="2" s="1"/>
  <c r="S54" i="2"/>
  <c r="W56" i="2"/>
  <c r="S56" i="2" s="1"/>
  <c r="W57" i="2"/>
  <c r="S57" i="2" s="1"/>
  <c r="W58" i="2"/>
  <c r="S58" i="2" s="1"/>
  <c r="W59" i="2"/>
  <c r="S59" i="2" s="1"/>
  <c r="G24" i="2" l="1"/>
  <c r="I24" i="2"/>
  <c r="H24" i="2"/>
  <c r="J24" i="2"/>
  <c r="K24" i="2"/>
  <c r="L24" i="2"/>
  <c r="AD25" i="2"/>
  <c r="B25" i="2"/>
  <c r="C25" i="2" s="1"/>
  <c r="AZ24" i="2"/>
  <c r="A26" i="2"/>
  <c r="U26" i="2" s="1"/>
  <c r="I25" i="2" l="1"/>
  <c r="J25" i="2"/>
  <c r="K25" i="2"/>
  <c r="L25" i="2"/>
  <c r="G25" i="2"/>
  <c r="H25" i="2"/>
  <c r="AD26" i="2"/>
  <c r="B26" i="2"/>
  <c r="C26" i="2" s="1"/>
  <c r="Q23" i="2"/>
  <c r="AC23" i="2" s="1"/>
  <c r="AZ25" i="2"/>
  <c r="A27" i="2"/>
  <c r="K26" i="2" l="1"/>
  <c r="L26" i="2"/>
  <c r="G26" i="2"/>
  <c r="H26" i="2"/>
  <c r="I26" i="2"/>
  <c r="J26" i="2"/>
  <c r="AD27" i="2"/>
  <c r="AA23" i="2"/>
  <c r="AB23" i="2" s="1"/>
  <c r="Q24" i="2"/>
  <c r="AC24" i="2" s="1"/>
  <c r="B27" i="2"/>
  <c r="C27" i="2" s="1"/>
  <c r="AZ26" i="2"/>
  <c r="A28" i="2"/>
  <c r="U28" i="2" s="1"/>
  <c r="H27" i="2" l="1"/>
  <c r="I27" i="2"/>
  <c r="J27" i="2"/>
  <c r="K27" i="2"/>
  <c r="L27" i="2"/>
  <c r="G27" i="2"/>
  <c r="AD28" i="2"/>
  <c r="AA24" i="2"/>
  <c r="AB24" i="2" s="1"/>
  <c r="B28" i="2"/>
  <c r="C28" i="2" s="1"/>
  <c r="Q25" i="2"/>
  <c r="AC25" i="2" s="1"/>
  <c r="AZ27" i="2"/>
  <c r="A29" i="2"/>
  <c r="G28" i="2" l="1"/>
  <c r="H28" i="2"/>
  <c r="I28" i="2"/>
  <c r="J28" i="2"/>
  <c r="K28" i="2"/>
  <c r="L28" i="2"/>
  <c r="AD29" i="2"/>
  <c r="AA25" i="2"/>
  <c r="AB25" i="2" s="1"/>
  <c r="Q27" i="2"/>
  <c r="AC27" i="2" s="1"/>
  <c r="B29" i="2"/>
  <c r="Q26" i="2"/>
  <c r="AC26" i="2" s="1"/>
  <c r="AZ28" i="2"/>
  <c r="A30" i="2"/>
  <c r="U30" i="2" s="1"/>
  <c r="Q10" i="2"/>
  <c r="AC5" i="2" s="1"/>
  <c r="C29" i="2" l="1"/>
  <c r="I29" i="2" s="1"/>
  <c r="M12" i="2"/>
  <c r="AA12" i="2"/>
  <c r="W12" i="2" s="1"/>
  <c r="A55" i="2"/>
  <c r="AD30" i="2"/>
  <c r="AA26" i="2"/>
  <c r="AB26" i="2" s="1"/>
  <c r="AA27" i="2"/>
  <c r="AB27" i="2" s="1"/>
  <c r="H11" i="2"/>
  <c r="A61" i="2"/>
  <c r="A11" i="2"/>
  <c r="M11" i="2"/>
  <c r="A58" i="2"/>
  <c r="A57" i="2"/>
  <c r="B30" i="2"/>
  <c r="C30" i="2" s="1"/>
  <c r="T27" i="2"/>
  <c r="AZ29" i="2"/>
  <c r="G11" i="2"/>
  <c r="AB10" i="2"/>
  <c r="A31" i="2"/>
  <c r="U31" i="2" s="1"/>
  <c r="W5" i="2"/>
  <c r="H29" i="2" l="1"/>
  <c r="L29" i="2"/>
  <c r="K29" i="2"/>
  <c r="G29" i="2"/>
  <c r="J29" i="2"/>
  <c r="K30" i="2"/>
  <c r="L30" i="2"/>
  <c r="G30" i="2"/>
  <c r="H30" i="2"/>
  <c r="I30" i="2"/>
  <c r="J30" i="2"/>
  <c r="AA11" i="2"/>
  <c r="W11" i="2" s="1"/>
  <c r="AC6" i="2"/>
  <c r="W6" i="2" s="1"/>
  <c r="AD31" i="2"/>
  <c r="Q28" i="2"/>
  <c r="AC28" i="2" s="1"/>
  <c r="B31" i="2"/>
  <c r="C31" i="2" s="1"/>
  <c r="AZ30" i="2"/>
  <c r="K11" i="2"/>
  <c r="U27" i="2" s="1"/>
  <c r="A32" i="2"/>
  <c r="U32" i="2" s="1"/>
  <c r="C8" i="2"/>
  <c r="AC2" i="2" s="1"/>
  <c r="V27" i="2" l="1"/>
  <c r="U29" i="2"/>
  <c r="G31" i="2"/>
  <c r="H31" i="2"/>
  <c r="I31" i="2"/>
  <c r="J31" i="2"/>
  <c r="K31" i="2"/>
  <c r="L31" i="2"/>
  <c r="AD32" i="2"/>
  <c r="AA28" i="2"/>
  <c r="AB28" i="2" s="1"/>
  <c r="W2" i="2"/>
  <c r="AA8" i="2"/>
  <c r="B32" i="2"/>
  <c r="C32" i="2" s="1"/>
  <c r="Q29" i="2"/>
  <c r="AC29" i="2" s="1"/>
  <c r="AZ31" i="2"/>
  <c r="A33" i="2"/>
  <c r="U33" i="2" s="1"/>
  <c r="G32" i="2" l="1"/>
  <c r="H32" i="2"/>
  <c r="I32" i="2"/>
  <c r="J32" i="2"/>
  <c r="K32" i="2"/>
  <c r="L32" i="2"/>
  <c r="AD33" i="2"/>
  <c r="AA29" i="2"/>
  <c r="AB29" i="2" s="1"/>
  <c r="Q31" i="2"/>
  <c r="AC31" i="2" s="1"/>
  <c r="B33" i="2"/>
  <c r="C33" i="2" s="1"/>
  <c r="Q30" i="2"/>
  <c r="AC30" i="2" s="1"/>
  <c r="AZ32" i="2"/>
  <c r="A34" i="2"/>
  <c r="I33" i="2" l="1"/>
  <c r="J33" i="2"/>
  <c r="L33" i="2"/>
  <c r="G33" i="2"/>
  <c r="H33" i="2"/>
  <c r="K33" i="2"/>
  <c r="AD34" i="2"/>
  <c r="AA30" i="2"/>
  <c r="AB30" i="2" s="1"/>
  <c r="AA31" i="2"/>
  <c r="AB31" i="2" s="1"/>
  <c r="B34" i="2"/>
  <c r="C34" i="2" s="1"/>
  <c r="AZ33" i="2"/>
  <c r="A35" i="2"/>
  <c r="U35" i="2" s="1"/>
  <c r="Q8" i="2"/>
  <c r="C10" i="2"/>
  <c r="AB8" i="2" l="1"/>
  <c r="AC4" i="2"/>
  <c r="W4" i="2" s="1"/>
  <c r="AA10" i="2"/>
  <c r="W10" i="2" s="1"/>
  <c r="AC3" i="2"/>
  <c r="W3" i="2" s="1"/>
  <c r="U34" i="2"/>
  <c r="K34" i="2"/>
  <c r="L34" i="2"/>
  <c r="G34" i="2"/>
  <c r="H34" i="2"/>
  <c r="I34" i="2"/>
  <c r="J34" i="2"/>
  <c r="AD35" i="2"/>
  <c r="B35" i="2"/>
  <c r="C35" i="2" s="1"/>
  <c r="Q32" i="2"/>
  <c r="AC32" i="2" s="1"/>
  <c r="AZ34" i="2"/>
  <c r="A36" i="2"/>
  <c r="G35" i="2" l="1"/>
  <c r="H35" i="2"/>
  <c r="I35" i="2"/>
  <c r="J35" i="2"/>
  <c r="K35" i="2"/>
  <c r="L35" i="2"/>
  <c r="AD36" i="2"/>
  <c r="Q33" i="2"/>
  <c r="AC33" i="2" s="1"/>
  <c r="AA32" i="2"/>
  <c r="AB32" i="2" s="1"/>
  <c r="AA33" i="2"/>
  <c r="AB33" i="2" s="1"/>
  <c r="B36" i="2"/>
  <c r="U36" i="2" s="1"/>
  <c r="AZ35" i="2"/>
  <c r="A37" i="2"/>
  <c r="U37" i="2" s="1"/>
  <c r="W8" i="2"/>
  <c r="C36" i="2" l="1"/>
  <c r="H36" i="2" s="1"/>
  <c r="AD37" i="2"/>
  <c r="Q35" i="2"/>
  <c r="AC35" i="2" s="1"/>
  <c r="B37" i="2"/>
  <c r="C37" i="2" s="1"/>
  <c r="Q34" i="2"/>
  <c r="AC34" i="2" s="1"/>
  <c r="AZ36" i="2"/>
  <c r="A38" i="2"/>
  <c r="U38" i="2" s="1"/>
  <c r="S6" i="2"/>
  <c r="K36" i="2" l="1"/>
  <c r="J36" i="2"/>
  <c r="I36" i="2"/>
  <c r="G36" i="2"/>
  <c r="L36" i="2"/>
  <c r="I37" i="2"/>
  <c r="J37" i="2"/>
  <c r="L37" i="2"/>
  <c r="G37" i="2"/>
  <c r="H37" i="2"/>
  <c r="K37" i="2"/>
  <c r="AD38" i="2"/>
  <c r="AA34" i="2"/>
  <c r="AB34" i="2" s="1"/>
  <c r="AA35" i="2"/>
  <c r="AB35" i="2" s="1"/>
  <c r="B38" i="2"/>
  <c r="C38" i="2" s="1"/>
  <c r="T34" i="2"/>
  <c r="V34" i="2" s="1"/>
  <c r="AZ37" i="2"/>
  <c r="A39" i="2"/>
  <c r="U39" i="2" s="1"/>
  <c r="S4" i="2"/>
  <c r="S5" i="2"/>
  <c r="S3" i="2"/>
  <c r="S2" i="2"/>
  <c r="K38" i="2" l="1"/>
  <c r="L38" i="2"/>
  <c r="G38" i="2"/>
  <c r="H38" i="2"/>
  <c r="I38" i="2"/>
  <c r="J38" i="2"/>
  <c r="AD39" i="2"/>
  <c r="B39" i="2"/>
  <c r="C39" i="2" s="1"/>
  <c r="Q36" i="2"/>
  <c r="AC36" i="2" s="1"/>
  <c r="AZ38" i="2"/>
  <c r="A40" i="2"/>
  <c r="U40" i="2" s="1"/>
  <c r="S12" i="2"/>
  <c r="S7" i="2"/>
  <c r="G39" i="2" l="1"/>
  <c r="H39" i="2"/>
  <c r="I39" i="2"/>
  <c r="J39" i="2"/>
  <c r="K39" i="2"/>
  <c r="L39" i="2"/>
  <c r="AD40" i="2"/>
  <c r="AA36" i="2"/>
  <c r="AB36" i="2" s="1"/>
  <c r="Q38" i="2"/>
  <c r="AC38" i="2" s="1"/>
  <c r="B40" i="2"/>
  <c r="C40" i="2" s="1"/>
  <c r="Q37" i="2"/>
  <c r="AC37" i="2" s="1"/>
  <c r="AZ39" i="2"/>
  <c r="A41" i="2"/>
  <c r="S9" i="2"/>
  <c r="S10" i="2"/>
  <c r="S11" i="2"/>
  <c r="G40" i="2" l="1"/>
  <c r="I40" i="2"/>
  <c r="K40" i="2"/>
  <c r="H40" i="2"/>
  <c r="J40" i="2"/>
  <c r="L40" i="2"/>
  <c r="AD41" i="2"/>
  <c r="AA37" i="2"/>
  <c r="AB37" i="2" s="1"/>
  <c r="AA38" i="2"/>
  <c r="AB38" i="2" s="1"/>
  <c r="B41" i="2"/>
  <c r="C41" i="2" s="1"/>
  <c r="AZ40" i="2"/>
  <c r="A42" i="2"/>
  <c r="U42" i="2" s="1"/>
  <c r="S8" i="2"/>
  <c r="U41" i="2" l="1"/>
  <c r="I41" i="2"/>
  <c r="J41" i="2"/>
  <c r="L41" i="2"/>
  <c r="G41" i="2"/>
  <c r="H41" i="2"/>
  <c r="K41" i="2"/>
  <c r="AD42" i="2"/>
  <c r="B42" i="2"/>
  <c r="C42" i="2" s="1"/>
  <c r="Q39" i="2"/>
  <c r="AC39" i="2" s="1"/>
  <c r="AZ41" i="2"/>
  <c r="A43" i="2"/>
  <c r="K42" i="2" l="1"/>
  <c r="L42" i="2"/>
  <c r="H42" i="2"/>
  <c r="I42" i="2"/>
  <c r="J42" i="2"/>
  <c r="G42" i="2"/>
  <c r="AD43" i="2"/>
  <c r="AA39" i="2"/>
  <c r="AB39" i="2" s="1"/>
  <c r="B43" i="2"/>
  <c r="U43" i="2" s="1"/>
  <c r="Q40" i="2"/>
  <c r="AC40" i="2" s="1"/>
  <c r="AZ42" i="2"/>
  <c r="A44" i="2"/>
  <c r="U44" i="2" s="1"/>
  <c r="C43" i="2" l="1"/>
  <c r="G43" i="2" s="1"/>
  <c r="AD44" i="2"/>
  <c r="AA40" i="2"/>
  <c r="AB40" i="2" s="1"/>
  <c r="B44" i="2"/>
  <c r="C44" i="2" s="1"/>
  <c r="Q41" i="2"/>
  <c r="AC41" i="2" s="1"/>
  <c r="AZ43" i="2"/>
  <c r="A45" i="2"/>
  <c r="U45" i="2" s="1"/>
  <c r="I43" i="2" l="1"/>
  <c r="L43" i="2"/>
  <c r="K43" i="2"/>
  <c r="J43" i="2"/>
  <c r="H43" i="2"/>
  <c r="G44" i="2"/>
  <c r="H44" i="2"/>
  <c r="K44" i="2"/>
  <c r="J44" i="2"/>
  <c r="L44" i="2"/>
  <c r="I44" i="2"/>
  <c r="AD45" i="2"/>
  <c r="AA41" i="2"/>
  <c r="AB41" i="2" s="1"/>
  <c r="B45" i="2"/>
  <c r="C45" i="2" s="1"/>
  <c r="T41" i="2"/>
  <c r="V41" i="2" s="1"/>
  <c r="Q42" i="2"/>
  <c r="AC42" i="2" s="1"/>
  <c r="AZ44" i="2"/>
  <c r="A46" i="2"/>
  <c r="U46" i="2" s="1"/>
  <c r="I45" i="2" l="1"/>
  <c r="K45" i="2"/>
  <c r="G45" i="2"/>
  <c r="J45" i="2"/>
  <c r="L45" i="2"/>
  <c r="H45" i="2"/>
  <c r="AD46" i="2"/>
  <c r="AA42" i="2"/>
  <c r="AB42" i="2" s="1"/>
  <c r="B46" i="2"/>
  <c r="C46" i="2" s="1"/>
  <c r="Q43" i="2"/>
  <c r="AC43" i="2" s="1"/>
  <c r="AZ45" i="2"/>
  <c r="A47" i="2"/>
  <c r="U47" i="2" s="1"/>
  <c r="K46" i="2" l="1"/>
  <c r="L46" i="2"/>
  <c r="G46" i="2"/>
  <c r="I46" i="2"/>
  <c r="H46" i="2"/>
  <c r="J46" i="2"/>
  <c r="AD47" i="2"/>
  <c r="AA43" i="2"/>
  <c r="AB43" i="2" s="1"/>
  <c r="B47" i="2"/>
  <c r="C47" i="2" s="1"/>
  <c r="Q44" i="2"/>
  <c r="AC44" i="2" s="1"/>
  <c r="AZ46" i="2"/>
  <c r="T23" i="2"/>
  <c r="V23" i="2" s="1"/>
  <c r="W23" i="2"/>
  <c r="S23" i="2" s="1"/>
  <c r="A48" i="2"/>
  <c r="G47" i="2" l="1"/>
  <c r="I47" i="2"/>
  <c r="K47" i="2"/>
  <c r="H47" i="2"/>
  <c r="J47" i="2"/>
  <c r="L47" i="2"/>
  <c r="AD48" i="2"/>
  <c r="Q45" i="2"/>
  <c r="AC45" i="2" s="1"/>
  <c r="AA44" i="2"/>
  <c r="AB44" i="2" s="1"/>
  <c r="B48" i="2"/>
  <c r="C48" i="2" s="1"/>
  <c r="Q46" i="2"/>
  <c r="AC46" i="2" s="1"/>
  <c r="AZ47" i="2"/>
  <c r="A49" i="2"/>
  <c r="U49" i="2" s="1"/>
  <c r="U48" i="2" l="1"/>
  <c r="G48" i="2"/>
  <c r="K48" i="2"/>
  <c r="H48" i="2"/>
  <c r="J48" i="2"/>
  <c r="L48" i="2"/>
  <c r="I48" i="2"/>
  <c r="AD49" i="2"/>
  <c r="AA45" i="2"/>
  <c r="AB45" i="2" s="1"/>
  <c r="AA46" i="2"/>
  <c r="AB46" i="2" s="1"/>
  <c r="Q47" i="2"/>
  <c r="AC47" i="2" s="1"/>
  <c r="B49" i="2"/>
  <c r="C49" i="2" s="1"/>
  <c r="AZ48" i="2"/>
  <c r="T24" i="2"/>
  <c r="V24" i="2" s="1"/>
  <c r="A50" i="2"/>
  <c r="I49" i="2" l="1"/>
  <c r="J49" i="2"/>
  <c r="K49" i="2"/>
  <c r="L49" i="2"/>
  <c r="G49" i="2"/>
  <c r="H49" i="2"/>
  <c r="AD50" i="2"/>
  <c r="AA47" i="2"/>
  <c r="AB47" i="2" s="1"/>
  <c r="B50" i="2"/>
  <c r="U50" i="2" s="1"/>
  <c r="AZ49" i="2"/>
  <c r="T26" i="2"/>
  <c r="V26" i="2" s="1"/>
  <c r="T25" i="2"/>
  <c r="V25" i="2" s="1"/>
  <c r="W24" i="2"/>
  <c r="S24" i="2" s="1"/>
  <c r="A51" i="2"/>
  <c r="U51" i="2" s="1"/>
  <c r="C50" i="2" l="1"/>
  <c r="K50" i="2" s="1"/>
  <c r="AD51" i="2"/>
  <c r="Q48" i="2"/>
  <c r="AC48" i="2" s="1"/>
  <c r="B51" i="2"/>
  <c r="C51" i="2" s="1"/>
  <c r="AZ50" i="2"/>
  <c r="W25" i="2"/>
  <c r="S25" i="2" s="1"/>
  <c r="W26" i="2"/>
  <c r="S26" i="2" s="1"/>
  <c r="A52" i="2"/>
  <c r="U52" i="2" s="1"/>
  <c r="I50" i="2" l="1"/>
  <c r="G50" i="2"/>
  <c r="J50" i="2"/>
  <c r="H50" i="2"/>
  <c r="L50" i="2"/>
  <c r="G51" i="2"/>
  <c r="K51" i="2"/>
  <c r="H51" i="2"/>
  <c r="I51" i="2"/>
  <c r="J51" i="2"/>
  <c r="L51" i="2"/>
  <c r="AD52" i="2"/>
  <c r="T48" i="2"/>
  <c r="V48" i="2" s="1"/>
  <c r="AA48" i="2"/>
  <c r="AB48" i="2" s="1"/>
  <c r="B52" i="2"/>
  <c r="C52" i="2" s="1"/>
  <c r="Q49" i="2"/>
  <c r="AC49" i="2" s="1"/>
  <c r="AZ51" i="2"/>
  <c r="A53" i="2"/>
  <c r="Q50" i="2" l="1"/>
  <c r="AC50" i="2" s="1"/>
  <c r="G52" i="2"/>
  <c r="H52" i="2"/>
  <c r="K52" i="2"/>
  <c r="J52" i="2"/>
  <c r="L52" i="2"/>
  <c r="I52" i="2"/>
  <c r="AD53" i="2"/>
  <c r="AA50" i="2"/>
  <c r="AB50" i="2" s="1"/>
  <c r="AA49" i="2"/>
  <c r="AB49" i="2" s="1"/>
  <c r="Q51" i="2"/>
  <c r="AC51" i="2" s="1"/>
  <c r="B53" i="2"/>
  <c r="AZ52" i="2"/>
  <c r="T28" i="2"/>
  <c r="V28" i="2" s="1"/>
  <c r="W27" i="2"/>
  <c r="S27" i="2" s="1"/>
  <c r="C53" i="2" l="1"/>
  <c r="I53" i="2" s="1"/>
  <c r="AA51" i="2"/>
  <c r="AB51" i="2" s="1"/>
  <c r="C3" i="2"/>
  <c r="C4" i="2"/>
  <c r="Q52" i="2"/>
  <c r="AC52" i="2" s="1"/>
  <c r="AZ53" i="2"/>
  <c r="W28" i="2"/>
  <c r="S28" i="2" s="1"/>
  <c r="T29" i="2"/>
  <c r="V29" i="2" s="1"/>
  <c r="U53" i="2" l="1"/>
  <c r="H53" i="2"/>
  <c r="G53" i="2"/>
  <c r="K53" i="2"/>
  <c r="L53" i="2"/>
  <c r="J53" i="2"/>
  <c r="AA52" i="2"/>
  <c r="AB52" i="2" s="1"/>
  <c r="AZ54" i="2"/>
  <c r="AZ55" i="2" s="1"/>
  <c r="AZ56" i="2" s="1"/>
  <c r="AZ57" i="2" s="1"/>
  <c r="AZ58" i="2" s="1"/>
  <c r="AZ59" i="2" s="1"/>
  <c r="AZ60" i="2" s="1"/>
  <c r="AZ61" i="2" s="1"/>
  <c r="AZ62" i="2" s="1"/>
  <c r="AZ63" i="2" s="1"/>
  <c r="AZ64" i="2" s="1"/>
  <c r="AZ65" i="2" s="1"/>
  <c r="AZ66" i="2" s="1"/>
  <c r="AZ67" i="2" s="1"/>
  <c r="AZ68" i="2" s="1"/>
  <c r="AZ69" i="2" s="1"/>
  <c r="AZ70" i="2" s="1"/>
  <c r="W29" i="2"/>
  <c r="S29" i="2" s="1"/>
  <c r="T30" i="2"/>
  <c r="V30" i="2" s="1"/>
  <c r="T31" i="2" l="1"/>
  <c r="V31" i="2" s="1"/>
  <c r="T32" i="2"/>
  <c r="V32" i="2" s="1"/>
  <c r="W30" i="2"/>
  <c r="S30" i="2" s="1"/>
  <c r="T33" i="2" l="1"/>
  <c r="V33" i="2" s="1"/>
  <c r="W32" i="2"/>
  <c r="S32" i="2" s="1"/>
  <c r="W31" i="2"/>
  <c r="S31" i="2" s="1"/>
  <c r="W33" i="2" l="1"/>
  <c r="S33" i="2" s="1"/>
  <c r="T36" i="2"/>
  <c r="V36" i="2" s="1"/>
  <c r="W34" i="2"/>
  <c r="S34" i="2" s="1"/>
  <c r="T35" i="2"/>
  <c r="V35" i="2" s="1"/>
  <c r="W36" i="2" l="1"/>
  <c r="S36" i="2" s="1"/>
  <c r="W35" i="2"/>
  <c r="S35" i="2" s="1"/>
  <c r="T37" i="2" l="1"/>
  <c r="V37" i="2" s="1"/>
  <c r="T38" i="2" l="1"/>
  <c r="V38" i="2" s="1"/>
  <c r="T39" i="2"/>
  <c r="V39" i="2" s="1"/>
  <c r="W37" i="2"/>
  <c r="S37" i="2" s="1"/>
  <c r="W38" i="2" l="1"/>
  <c r="S38" i="2" s="1"/>
  <c r="T40" i="2"/>
  <c r="V40" i="2" s="1"/>
  <c r="W39" i="2"/>
  <c r="S39" i="2" s="1"/>
  <c r="W40" i="2" l="1"/>
  <c r="S40" i="2" s="1"/>
  <c r="W41" i="2" l="1"/>
  <c r="S41" i="2" s="1"/>
  <c r="T42" i="2"/>
  <c r="V42" i="2" s="1"/>
  <c r="T43" i="2" l="1"/>
  <c r="V43" i="2" s="1"/>
  <c r="W42" i="2"/>
  <c r="S42" i="2" s="1"/>
  <c r="W43" i="2" l="1"/>
  <c r="S43" i="2" s="1"/>
  <c r="T44" i="2"/>
  <c r="V44" i="2" s="1"/>
  <c r="T45" i="2" l="1"/>
  <c r="V45" i="2" s="1"/>
  <c r="T46" i="2"/>
  <c r="V46" i="2" s="1"/>
  <c r="W44" i="2"/>
  <c r="S44" i="2" s="1"/>
  <c r="W45" i="2" l="1"/>
  <c r="S45" i="2" s="1"/>
  <c r="T47" i="2"/>
  <c r="V47" i="2" s="1"/>
  <c r="W46" i="2"/>
  <c r="S46" i="2" s="1"/>
  <c r="W47" i="2" l="1"/>
  <c r="S47" i="2" s="1"/>
  <c r="T49" i="2"/>
  <c r="V49" i="2" s="1"/>
  <c r="T50" i="2" l="1"/>
  <c r="V50" i="2" s="1"/>
  <c r="W48" i="2"/>
  <c r="S48" i="2" s="1"/>
  <c r="W49" i="2"/>
  <c r="S49" i="2" s="1"/>
  <c r="R11" i="2"/>
  <c r="A59" i="2" l="1"/>
  <c r="Q59" i="2"/>
  <c r="Q53" i="2"/>
  <c r="AC53" i="2" s="1"/>
  <c r="T51" i="2"/>
  <c r="V51" i="2" s="1"/>
  <c r="W50" i="2"/>
  <c r="S50" i="2" s="1"/>
  <c r="T52" i="2"/>
  <c r="V52" i="2" s="1"/>
  <c r="U54" i="2"/>
  <c r="Q57" i="2" s="1"/>
  <c r="AA53" i="2" l="1"/>
  <c r="AB53" i="2" s="1"/>
  <c r="T53" i="2"/>
  <c r="V53" i="2" s="1"/>
  <c r="W52" i="2"/>
  <c r="S52" i="2" s="1"/>
  <c r="W51" i="2"/>
  <c r="S51" i="2" s="1"/>
  <c r="Q54" i="2"/>
  <c r="Q55" i="2" l="1"/>
  <c r="AA55" i="2" s="1"/>
  <c r="W53" i="2"/>
  <c r="S53" i="2" s="1"/>
  <c r="T54" i="2"/>
  <c r="V54" i="2" s="1"/>
  <c r="Q56" i="2" l="1"/>
  <c r="Q58" i="2" s="1"/>
  <c r="Q60" i="2" s="1"/>
  <c r="W55" i="2"/>
  <c r="S55" i="2" s="1"/>
  <c r="T55" i="2"/>
  <c r="A60" i="2" l="1"/>
  <c r="S60" i="2" l="1"/>
  <c r="AA60" i="2"/>
  <c r="W60" i="2" s="1"/>
</calcChain>
</file>

<file path=xl/comments1.xml><?xml version="1.0" encoding="utf-8"?>
<comments xmlns="http://schemas.openxmlformats.org/spreadsheetml/2006/main">
  <authors>
    <author>sreibr</author>
    <author>Autor</author>
  </authors>
  <commentList>
    <comment ref="E1" authorId="0" shapeId="0">
      <text>
        <r>
          <rPr>
            <sz val="9"/>
            <color indexed="81"/>
            <rFont val="Tahoma"/>
            <family val="2"/>
            <charset val="238"/>
          </rPr>
          <t>Nastaví název listu na vyplněný měsíc a rok ve tvaru MM-RRRR</t>
        </r>
      </text>
    </comment>
    <comment ref="G1" authorId="1" shapeId="0">
      <text>
        <r>
          <rPr>
            <sz val="9"/>
            <color indexed="81"/>
            <rFont val="Tahoma"/>
            <family val="2"/>
            <charset val="238"/>
          </rPr>
          <t>Výkon práce (od-do)</t>
        </r>
      </text>
    </comment>
    <comment ref="I1" authorId="1" shapeId="0">
      <text>
        <r>
          <rPr>
            <sz val="9"/>
            <color indexed="81"/>
            <rFont val="Tahoma"/>
            <family val="2"/>
            <charset val="238"/>
          </rPr>
          <t>Přestávka 1 (od-do)</t>
        </r>
      </text>
    </comment>
    <comment ref="K1" authorId="1" shapeId="0">
      <text>
        <r>
          <rPr>
            <sz val="9"/>
            <color indexed="81"/>
            <rFont val="Tahoma"/>
            <family val="2"/>
            <charset val="238"/>
          </rPr>
          <t>Přestávka 2 (od-do)</t>
        </r>
      </text>
    </comment>
    <comment ref="S1" authorId="1" shapeId="0">
      <text>
        <r>
          <rPr>
            <sz val="9"/>
            <color indexed="81"/>
            <rFont val="Tahoma"/>
            <family val="2"/>
            <charset val="238"/>
          </rPr>
          <t>Příznak, že daný řádek obsahuje chybu</t>
        </r>
      </text>
    </comment>
    <comment ref="C3" authorId="1" shapeId="0">
      <text>
        <r>
          <rPr>
            <sz val="9"/>
            <color indexed="81"/>
            <rFont val="Tahoma"/>
            <family val="2"/>
            <charset val="238"/>
          </rPr>
          <t>Počet hodin fondu pracovní doby za daný měsíc bez svátků</t>
        </r>
      </text>
    </comment>
    <comment ref="C4" authorId="1" shapeId="0">
      <text>
        <r>
          <rPr>
            <sz val="9"/>
            <color indexed="81"/>
            <rFont val="Tahoma"/>
            <family val="2"/>
            <charset val="238"/>
          </rPr>
          <t>Počet hodin fondu pracovní doby za daný měsíc včetně svátků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38"/>
          </rPr>
          <t>Vytvoří od daného měsíce kopii listů pro jednotlivé měsíce až do konce roku</t>
        </r>
      </text>
    </comment>
    <comment ref="B6" authorId="1" shapeId="0">
      <text>
        <r>
          <rPr>
            <sz val="9"/>
            <color indexed="81"/>
            <rFont val="Tahoma"/>
            <family val="2"/>
            <charset val="238"/>
          </rPr>
          <t>Po kliknutí se otevře internetový prohlížeč se stránkou webu eo.vse.cz, kde je ke stažení k dispozici aktuální formulář</t>
        </r>
      </text>
    </comment>
    <comment ref="H11" authorId="1" shapeId="0">
      <text>
        <r>
          <rPr>
            <sz val="9"/>
            <color indexed="81"/>
            <rFont val="Tahoma"/>
            <family val="2"/>
            <charset val="238"/>
          </rPr>
          <t>Přepočet úvazku ke 40 hodinám týdně</t>
        </r>
      </text>
    </comment>
    <comment ref="M11" authorId="1" shapeId="0">
      <text>
        <r>
          <rPr>
            <sz val="9"/>
            <color indexed="81"/>
            <rFont val="Tahoma"/>
            <family val="2"/>
            <charset val="238"/>
          </rPr>
          <t>Měsíční počet hodin fondu pracovní doby bez započtení svátku s přepočtením na sjednaný úvazek</t>
        </r>
      </text>
    </comment>
    <comment ref="F14" authorId="1" shapeId="0">
      <text>
        <r>
          <rPr>
            <sz val="9"/>
            <color indexed="81"/>
            <rFont val="Tahoma"/>
            <family val="2"/>
            <charset val="238"/>
          </rPr>
          <t>Slouží pro ruční úpravu výchozího statusu dne</t>
        </r>
      </text>
    </comment>
    <comment ref="O14" authorId="1" shapeId="0">
      <text>
        <r>
          <rPr>
            <sz val="9"/>
            <color indexed="81"/>
            <rFont val="Tahoma"/>
            <family val="2"/>
            <charset val="238"/>
          </rPr>
          <t>Korekce délky výkonu práce v daném dni vůči sloupci 'Odpracováno hodin' (napr. nenařízený přesčas)</t>
        </r>
      </text>
    </comment>
    <comment ref="S14" authorId="1" shapeId="0">
      <text>
        <r>
          <rPr>
            <sz val="9"/>
            <color indexed="81"/>
            <rFont val="Tahoma"/>
            <family val="2"/>
            <charset val="238"/>
          </rPr>
          <t>Příznak, že daný řádek obsahuje chybu.</t>
        </r>
      </text>
    </comment>
    <comment ref="T14" authorId="1" shapeId="0">
      <text>
        <r>
          <rPr>
            <sz val="9"/>
            <color indexed="81"/>
            <rFont val="Tahoma"/>
            <family val="2"/>
            <charset val="238"/>
          </rPr>
          <t>Skutečně odpracovaná doba za týden</t>
        </r>
      </text>
    </comment>
    <comment ref="U14" authorId="1" shapeId="0">
      <text>
        <r>
          <rPr>
            <sz val="9"/>
            <color indexed="81"/>
            <rFont val="Tahoma"/>
            <family val="2"/>
            <charset val="238"/>
          </rPr>
          <t>Předpokládaná odpracovaná doba na základě vykázaných statusů dne v daném týdnu</t>
        </r>
      </text>
    </comment>
    <comment ref="V14" authorId="1" shapeId="0">
      <text>
        <r>
          <rPr>
            <sz val="9"/>
            <color indexed="81"/>
            <rFont val="Tahoma"/>
            <family val="2"/>
            <charset val="238"/>
          </rPr>
          <t>'Skuteč. týdně' mínus 'Plán týdně'</t>
        </r>
      </text>
    </comment>
    <comment ref="Q60" authorId="1" shapeId="0">
      <text>
        <r>
          <rPr>
            <sz val="9"/>
            <color indexed="81"/>
            <rFont val="Tahoma"/>
            <family val="2"/>
            <charset val="238"/>
          </rPr>
          <t>U akademiku má být zpravidla nula hodin. U neakademiku platí následující: 
• V ojedinělých případech záporná výše hodin, tj. neodpracovaný fond pracovní doby je nutné vyřešit v následujícím měsíci (zaměstnanec doodpracuje tyto hodiny následující měsíc).
• Pokud je výše hodin kladná, pak zaměstnanec má hodiny napracované pro následující měsíc.</t>
        </r>
      </text>
    </comment>
  </commentList>
</comments>
</file>

<file path=xl/sharedStrings.xml><?xml version="1.0" encoding="utf-8"?>
<sst xmlns="http://schemas.openxmlformats.org/spreadsheetml/2006/main" count="5" uniqueCount="4">
  <si>
    <t>±</t>
  </si>
  <si>
    <t>OSČPV (xxxxx.xxx)</t>
  </si>
  <si>
    <t>hh:mm</t>
  </si>
  <si>
    <t>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</si>
</sst>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d"/>
    <numFmt numFmtId="165" formatCode="&quot;FPD bez svátků:&quot;\ 0"/>
    <numFmt numFmtId="166" formatCode="[h]:mm"/>
    <numFmt numFmtId="167" formatCode="yyyy"/>
    <numFmt numFmtId="168" formatCode="0.0000"/>
    <numFmt numFmtId="169" formatCode="0.000000000000000000000000000000"/>
    <numFmt numFmtId="170" formatCode="&quot;FPD vč. sv.:&quot;\ 0"/>
    <numFmt numFmtId="171" formatCode="&quot;FPD bez sv.:&quot;\ 0"/>
    <numFmt numFmtId="172" formatCode="[$-405]mmmm"/>
    <numFmt numFmtId="173" formatCode="[$-405]dd/mm/yyyy"/>
    <numFmt numFmtId="174" formatCode="[$-405]h:mm"/>
    <numFmt numFmtId="175" formatCode="[$-405][h]:mm"/>
    <numFmt numFmtId="176" formatCode="&quot;Verze formuláře: &quot;dd\-mm\-yyyy"/>
    <numFmt numFmtId="177" formatCode="&quot;Verze formuláře: &quot;\ 0.000"/>
    <numFmt numFmtId="178" formatCode="&quot;FPD bez sv2.:&quot;\ 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2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u/>
      <sz val="11"/>
      <color rgb="FF0000FF"/>
      <name val="Calibri"/>
      <family val="2"/>
      <charset val="238"/>
    </font>
    <font>
      <b/>
      <u/>
      <sz val="9"/>
      <color rgb="FF0000FF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theme="0"/>
        </stop>
      </gradient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Protection="1"/>
    <xf numFmtId="0" fontId="13" fillId="0" borderId="0" xfId="0" applyFont="1" applyFill="1" applyBorder="1" applyAlignment="1" applyProtection="1">
      <alignment horizontal="center"/>
    </xf>
    <xf numFmtId="0" fontId="12" fillId="0" borderId="0" xfId="0" applyFont="1" applyProtection="1"/>
    <xf numFmtId="0" fontId="0" fillId="0" borderId="0" xfId="0" applyAlignment="1" applyProtection="1">
      <alignment vertical="center"/>
    </xf>
    <xf numFmtId="0" fontId="0" fillId="0" borderId="0" xfId="0" applyBorder="1" applyAlignment="1" applyProtection="1"/>
    <xf numFmtId="169" fontId="0" fillId="0" borderId="0" xfId="0" applyNumberFormat="1" applyProtection="1"/>
    <xf numFmtId="0" fontId="2" fillId="0" borderId="0" xfId="0" applyFont="1" applyFill="1" applyBorder="1" applyAlignment="1" applyProtection="1">
      <alignment vertical="top" wrapText="1" shrinkToFit="1"/>
    </xf>
    <xf numFmtId="0" fontId="5" fillId="0" borderId="0" xfId="0" applyFont="1" applyProtection="1"/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textRotation="90" shrinkToFit="1"/>
    </xf>
    <xf numFmtId="167" fontId="4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14" fontId="5" fillId="0" borderId="0" xfId="0" applyNumberFormat="1" applyFont="1" applyBorder="1" applyAlignment="1" applyProtection="1"/>
    <xf numFmtId="14" fontId="0" fillId="0" borderId="0" xfId="0" applyNumberFormat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NumberFormat="1" applyProtection="1"/>
    <xf numFmtId="0" fontId="0" fillId="0" borderId="0" xfId="0" applyNumberFormat="1" applyFill="1" applyProtection="1"/>
    <xf numFmtId="166" fontId="5" fillId="0" borderId="0" xfId="0" applyNumberFormat="1" applyFont="1" applyProtection="1"/>
    <xf numFmtId="164" fontId="1" fillId="0" borderId="1" xfId="0" applyNumberFormat="1" applyFont="1" applyFill="1" applyBorder="1" applyAlignment="1" applyProtection="1">
      <alignment horizontal="center" vertical="center" shrinkToFit="1"/>
    </xf>
    <xf numFmtId="0" fontId="0" fillId="0" borderId="1" xfId="0" applyNumberFormat="1" applyFill="1" applyBorder="1" applyAlignment="1" applyProtection="1">
      <alignment horizontal="center" vertical="center" shrinkToFit="1"/>
    </xf>
    <xf numFmtId="164" fontId="1" fillId="0" borderId="1" xfId="0" applyNumberFormat="1" applyFont="1" applyBorder="1" applyAlignment="1" applyProtection="1">
      <alignment horizontal="center" vertical="center" shrinkToFit="1"/>
    </xf>
    <xf numFmtId="0" fontId="9" fillId="2" borderId="22" xfId="0" applyFont="1" applyFill="1" applyBorder="1" applyAlignment="1" applyProtection="1">
      <alignment horizontal="center" shrinkToFit="1"/>
    </xf>
    <xf numFmtId="2" fontId="2" fillId="0" borderId="0" xfId="0" applyNumberFormat="1" applyFont="1" applyFill="1" applyBorder="1" applyAlignment="1" applyProtection="1">
      <alignment shrinkToFit="1"/>
    </xf>
    <xf numFmtId="166" fontId="2" fillId="0" borderId="0" xfId="0" applyNumberFormat="1" applyFont="1" applyFill="1" applyBorder="1" applyAlignment="1" applyProtection="1">
      <alignment horizontal="center" shrinkToFit="1"/>
    </xf>
    <xf numFmtId="0" fontId="2" fillId="0" borderId="0" xfId="0" applyFont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wrapText="1"/>
    </xf>
    <xf numFmtId="0" fontId="2" fillId="0" borderId="35" xfId="0" applyFont="1" applyFill="1" applyBorder="1" applyAlignment="1" applyProtection="1">
      <alignment wrapText="1"/>
    </xf>
    <xf numFmtId="0" fontId="0" fillId="0" borderId="0" xfId="0" applyBorder="1" applyProtection="1"/>
    <xf numFmtId="167" fontId="4" fillId="0" borderId="43" xfId="0" applyNumberFormat="1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/>
    </xf>
    <xf numFmtId="0" fontId="0" fillId="0" borderId="43" xfId="0" applyBorder="1" applyProtection="1"/>
    <xf numFmtId="0" fontId="0" fillId="0" borderId="43" xfId="0" applyBorder="1" applyAlignment="1" applyProtection="1">
      <alignment horizontal="center"/>
    </xf>
    <xf numFmtId="0" fontId="2" fillId="0" borderId="43" xfId="0" applyFont="1" applyBorder="1" applyAlignment="1" applyProtection="1">
      <alignment horizontal="center" wrapText="1"/>
    </xf>
    <xf numFmtId="0" fontId="2" fillId="4" borderId="45" xfId="0" applyFont="1" applyFill="1" applyBorder="1" applyAlignment="1" applyProtection="1">
      <alignment horizontal="center" shrinkToFit="1"/>
      <protection locked="0"/>
    </xf>
    <xf numFmtId="0" fontId="9" fillId="2" borderId="1" xfId="0" applyFont="1" applyFill="1" applyBorder="1" applyAlignment="1" applyProtection="1">
      <alignment horizontal="center" shrinkToFit="1"/>
    </xf>
    <xf numFmtId="0" fontId="2" fillId="0" borderId="17" xfId="0" applyFont="1" applyBorder="1" applyAlignment="1" applyProtection="1"/>
    <xf numFmtId="0" fontId="0" fillId="0" borderId="0" xfId="0" applyBorder="1"/>
    <xf numFmtId="0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174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6" xfId="0" applyNumberFormat="1" applyFill="1" applyBorder="1" applyAlignment="1" applyProtection="1">
      <alignment horizontal="center" shrinkToFit="1"/>
      <protection locked="0"/>
    </xf>
    <xf numFmtId="174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Border="1" applyAlignment="1" applyProtection="1">
      <alignment horizontal="right" shrinkToFit="1"/>
    </xf>
    <xf numFmtId="175" fontId="0" fillId="0" borderId="0" xfId="0" applyNumberFormat="1" applyAlignment="1" applyProtection="1">
      <alignment horizontal="right" shrinkToFit="1"/>
    </xf>
    <xf numFmtId="175" fontId="2" fillId="0" borderId="0" xfId="0" applyNumberFormat="1" applyFont="1" applyAlignment="1" applyProtection="1">
      <alignment horizontal="right"/>
    </xf>
    <xf numFmtId="174" fontId="2" fillId="6" borderId="1" xfId="0" applyNumberFormat="1" applyFont="1" applyFill="1" applyBorder="1" applyAlignment="1" applyProtection="1">
      <alignment horizontal="center" vertical="center" shrinkToFit="1"/>
      <protection locked="0"/>
    </xf>
    <xf numFmtId="174" fontId="2" fillId="6" borderId="22" xfId="0" applyNumberFormat="1" applyFont="1" applyFill="1" applyBorder="1" applyAlignment="1" applyProtection="1">
      <alignment horizontal="center" vertical="center" shrinkToFit="1"/>
      <protection locked="0"/>
    </xf>
    <xf numFmtId="175" fontId="2" fillId="0" borderId="0" xfId="0" applyNumberFormat="1" applyFont="1" applyFill="1" applyBorder="1" applyAlignment="1" applyProtection="1">
      <alignment horizontal="center" shrinkToFit="1"/>
    </xf>
    <xf numFmtId="2" fontId="0" fillId="0" borderId="0" xfId="0" applyNumberFormat="1" applyProtection="1"/>
    <xf numFmtId="49" fontId="2" fillId="7" borderId="5" xfId="0" applyNumberFormat="1" applyFont="1" applyFill="1" applyBorder="1" applyAlignment="1" applyProtection="1">
      <alignment horizontal="center" vertical="center"/>
      <protection locked="0"/>
    </xf>
    <xf numFmtId="175" fontId="2" fillId="7" borderId="19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Protection="1"/>
    <xf numFmtId="0" fontId="2" fillId="2" borderId="1" xfId="0" applyFont="1" applyFill="1" applyBorder="1" applyAlignment="1" applyProtection="1">
      <alignment horizontal="center" wrapText="1"/>
    </xf>
    <xf numFmtId="0" fontId="9" fillId="0" borderId="35" xfId="0" applyFont="1" applyFill="1" applyBorder="1" applyAlignment="1" applyProtection="1">
      <alignment horizontal="center" shrinkToFit="1"/>
    </xf>
    <xf numFmtId="0" fontId="10" fillId="0" borderId="0" xfId="0" applyFont="1" applyFill="1" applyBorder="1" applyAlignment="1" applyProtection="1">
      <alignment shrinkToFit="1"/>
    </xf>
    <xf numFmtId="171" fontId="8" fillId="0" borderId="0" xfId="0" applyNumberFormat="1" applyFont="1" applyFill="1" applyBorder="1" applyAlignment="1" applyProtection="1">
      <alignment shrinkToFit="1"/>
    </xf>
    <xf numFmtId="0" fontId="5" fillId="0" borderId="0" xfId="0" applyFont="1" applyFill="1" applyBorder="1" applyAlignment="1" applyProtection="1">
      <alignment shrinkToFit="1"/>
    </xf>
    <xf numFmtId="170" fontId="8" fillId="0" borderId="14" xfId="0" applyNumberFormat="1" applyFont="1" applyFill="1" applyBorder="1" applyAlignment="1" applyProtection="1">
      <alignment shrinkToFit="1"/>
    </xf>
    <xf numFmtId="0" fontId="20" fillId="0" borderId="21" xfId="0" applyFont="1" applyFill="1" applyBorder="1" applyAlignment="1" applyProtection="1">
      <alignment horizontal="center" shrinkToFit="1"/>
      <protection locked="0"/>
    </xf>
    <xf numFmtId="0" fontId="21" fillId="0" borderId="35" xfId="0" applyFont="1" applyFill="1" applyBorder="1" applyAlignment="1" applyProtection="1">
      <alignment shrinkToFit="1"/>
    </xf>
    <xf numFmtId="0" fontId="9" fillId="0" borderId="0" xfId="0" applyFont="1" applyFill="1" applyBorder="1" applyAlignment="1" applyProtection="1">
      <alignment horizontal="right" shrinkToFit="1"/>
    </xf>
    <xf numFmtId="0" fontId="9" fillId="0" borderId="21" xfId="0" applyFont="1" applyFill="1" applyBorder="1" applyAlignment="1" applyProtection="1">
      <alignment horizontal="right" shrinkToFit="1"/>
    </xf>
    <xf numFmtId="0" fontId="14" fillId="0" borderId="1" xfId="0" applyFont="1" applyFill="1" applyBorder="1" applyAlignment="1" applyProtection="1">
      <alignment horizontal="center" shrinkToFit="1"/>
    </xf>
    <xf numFmtId="0" fontId="2" fillId="4" borderId="41" xfId="0" applyFont="1" applyFill="1" applyBorder="1" applyAlignment="1" applyProtection="1">
      <alignment horizontal="center" shrinkToFit="1"/>
      <protection locked="0"/>
    </xf>
    <xf numFmtId="0" fontId="2" fillId="4" borderId="42" xfId="0" applyNumberFormat="1" applyFont="1" applyFill="1" applyBorder="1" applyAlignment="1" applyProtection="1">
      <alignment horizontal="center" shrinkToFit="1"/>
      <protection locked="0"/>
    </xf>
    <xf numFmtId="0" fontId="3" fillId="0" borderId="0" xfId="0" applyFont="1" applyProtection="1"/>
    <xf numFmtId="0" fontId="13" fillId="0" borderId="35" xfId="0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 vertical="center" shrinkToFit="1"/>
    </xf>
    <xf numFmtId="0" fontId="9" fillId="5" borderId="11" xfId="0" applyFont="1" applyFill="1" applyBorder="1" applyAlignment="1" applyProtection="1">
      <alignment horizontal="center" shrinkToFit="1"/>
    </xf>
    <xf numFmtId="0" fontId="9" fillId="5" borderId="12" xfId="0" applyFont="1" applyFill="1" applyBorder="1" applyAlignment="1" applyProtection="1">
      <alignment shrinkToFit="1"/>
    </xf>
    <xf numFmtId="174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174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3" xfId="0" applyNumberFormat="1" applyBorder="1" applyAlignment="1" applyProtection="1">
      <alignment horizontal="right" indent="1" shrinkToFit="1"/>
    </xf>
    <xf numFmtId="174" fontId="0" fillId="0" borderId="19" xfId="0" applyNumberFormat="1" applyBorder="1" applyAlignment="1" applyProtection="1">
      <alignment horizontal="right" indent="1" shrinkToFit="1"/>
    </xf>
    <xf numFmtId="0" fontId="3" fillId="0" borderId="13" xfId="0" applyNumberFormat="1" applyFont="1" applyFill="1" applyBorder="1" applyAlignment="1" applyProtection="1">
      <alignment horizontal="center" vertical="center" shrinkToFit="1"/>
    </xf>
    <xf numFmtId="0" fontId="3" fillId="0" borderId="20" xfId="0" applyNumberFormat="1" applyFont="1" applyFill="1" applyBorder="1" applyAlignment="1" applyProtection="1">
      <alignment horizontal="center" vertical="center" shrinkToFit="1"/>
    </xf>
    <xf numFmtId="0" fontId="3" fillId="0" borderId="39" xfId="0" applyNumberFormat="1" applyFont="1" applyFill="1" applyBorder="1" applyAlignment="1" applyProtection="1">
      <alignment horizontal="center" vertical="center" shrinkToFit="1"/>
    </xf>
    <xf numFmtId="0" fontId="2" fillId="4" borderId="31" xfId="0" applyFont="1" applyFill="1" applyBorder="1" applyAlignment="1" applyProtection="1">
      <alignment horizontal="center" shrinkToFit="1"/>
      <protection locked="0"/>
    </xf>
    <xf numFmtId="0" fontId="2" fillId="4" borderId="20" xfId="0" applyFont="1" applyFill="1" applyBorder="1" applyAlignment="1" applyProtection="1">
      <alignment horizontal="center" shrinkToFit="1"/>
      <protection locked="0"/>
    </xf>
    <xf numFmtId="0" fontId="2" fillId="4" borderId="32" xfId="0" applyFont="1" applyFill="1" applyBorder="1" applyAlignment="1" applyProtection="1">
      <alignment horizontal="center" shrinkToFit="1"/>
      <protection locked="0"/>
    </xf>
    <xf numFmtId="0" fontId="11" fillId="0" borderId="0" xfId="0" applyFont="1" applyBorder="1" applyAlignment="1" applyProtection="1">
      <alignment horizontal="right" vertical="top" wrapText="1"/>
    </xf>
    <xf numFmtId="0" fontId="0" fillId="0" borderId="0" xfId="0" applyFill="1" applyBorder="1" applyAlignment="1" applyProtection="1">
      <alignment horizontal="right" shrinkToFit="1"/>
    </xf>
    <xf numFmtId="0" fontId="9" fillId="5" borderId="9" xfId="0" applyFont="1" applyFill="1" applyBorder="1" applyAlignment="1" applyProtection="1">
      <alignment horizontal="center" shrinkToFit="1"/>
    </xf>
    <xf numFmtId="0" fontId="9" fillId="5" borderId="10" xfId="0" applyFont="1" applyFill="1" applyBorder="1" applyAlignment="1" applyProtection="1">
      <alignment horizontal="center" shrinkToFit="1"/>
    </xf>
    <xf numFmtId="0" fontId="0" fillId="0" borderId="0" xfId="0" applyBorder="1" applyAlignment="1" applyProtection="1">
      <alignment horizontal="right" shrinkToFit="1"/>
    </xf>
    <xf numFmtId="0" fontId="0" fillId="0" borderId="14" xfId="0" applyBorder="1" applyAlignment="1" applyProtection="1">
      <alignment horizontal="right" shrinkToFit="1"/>
    </xf>
    <xf numFmtId="0" fontId="2" fillId="0" borderId="35" xfId="0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5" fillId="0" borderId="40" xfId="0" applyFont="1" applyFill="1" applyBorder="1" applyAlignment="1" applyProtection="1">
      <alignment horizontal="center" shrinkToFit="1"/>
    </xf>
    <xf numFmtId="0" fontId="5" fillId="0" borderId="0" xfId="0" applyFont="1" applyFill="1" applyBorder="1" applyAlignment="1" applyProtection="1">
      <alignment horizontal="center" shrinkToFit="1"/>
    </xf>
    <xf numFmtId="0" fontId="5" fillId="0" borderId="14" xfId="0" applyFont="1" applyFill="1" applyBorder="1" applyAlignment="1" applyProtection="1">
      <alignment horizontal="center" shrinkToFit="1"/>
    </xf>
    <xf numFmtId="2" fontId="2" fillId="4" borderId="33" xfId="0" applyNumberFormat="1" applyFont="1" applyFill="1" applyBorder="1" applyAlignment="1" applyProtection="1">
      <alignment horizontal="center" shrinkToFit="1"/>
      <protection locked="0"/>
    </xf>
    <xf numFmtId="2" fontId="2" fillId="4" borderId="27" xfId="0" applyNumberFormat="1" applyFont="1" applyFill="1" applyBorder="1" applyAlignment="1" applyProtection="1">
      <alignment horizontal="center" shrinkToFit="1"/>
      <protection locked="0"/>
    </xf>
    <xf numFmtId="2" fontId="2" fillId="4" borderId="34" xfId="0" applyNumberFormat="1" applyFont="1" applyFill="1" applyBorder="1" applyAlignment="1" applyProtection="1">
      <alignment horizontal="center" shrinkToFit="1"/>
      <protection locked="0"/>
    </xf>
    <xf numFmtId="17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right" shrinkToFit="1"/>
    </xf>
    <xf numFmtId="0" fontId="0" fillId="0" borderId="0" xfId="0" applyAlignment="1" applyProtection="1">
      <alignment horizontal="right" shrinkToFit="1"/>
    </xf>
    <xf numFmtId="0" fontId="2" fillId="0" borderId="17" xfId="0" applyFont="1" applyBorder="1" applyAlignment="1" applyProtection="1">
      <alignment horizontal="right"/>
    </xf>
    <xf numFmtId="0" fontId="1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75" fontId="0" fillId="0" borderId="0" xfId="0" applyNumberFormat="1" applyFont="1" applyAlignment="1" applyProtection="1">
      <alignment horizontal="right" indent="1"/>
    </xf>
    <xf numFmtId="175" fontId="2" fillId="0" borderId="0" xfId="0" applyNumberFormat="1" applyFont="1" applyAlignment="1" applyProtection="1">
      <alignment horizontal="right" indent="1"/>
    </xf>
    <xf numFmtId="175" fontId="0" fillId="0" borderId="0" xfId="0" applyNumberFormat="1" applyFont="1" applyFill="1" applyBorder="1" applyAlignment="1" applyProtection="1">
      <alignment horizontal="right" indent="1"/>
    </xf>
    <xf numFmtId="175" fontId="2" fillId="0" borderId="17" xfId="0" applyNumberFormat="1" applyFont="1" applyBorder="1" applyAlignment="1" applyProtection="1">
      <alignment horizontal="right" indent="1"/>
    </xf>
    <xf numFmtId="0" fontId="6" fillId="0" borderId="0" xfId="0" applyFont="1" applyBorder="1" applyAlignment="1" applyProtection="1">
      <alignment horizontal="center" vertical="center"/>
    </xf>
    <xf numFmtId="0" fontId="9" fillId="5" borderId="9" xfId="0" applyFont="1" applyFill="1" applyBorder="1" applyAlignment="1" applyProtection="1">
      <alignment horizontal="center" vertical="center" shrinkToFit="1"/>
    </xf>
    <xf numFmtId="0" fontId="9" fillId="5" borderId="10" xfId="0" applyFont="1" applyFill="1" applyBorder="1" applyAlignment="1" applyProtection="1">
      <alignment horizontal="center" vertical="center" shrinkToFit="1"/>
    </xf>
    <xf numFmtId="0" fontId="9" fillId="5" borderId="16" xfId="0" applyFont="1" applyFill="1" applyBorder="1" applyAlignment="1" applyProtection="1">
      <alignment horizontal="center" vertical="center" shrinkToFit="1"/>
    </xf>
    <xf numFmtId="0" fontId="9" fillId="5" borderId="26" xfId="0" applyFont="1" applyFill="1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/>
    </xf>
    <xf numFmtId="0" fontId="0" fillId="0" borderId="18" xfId="0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right" shrinkToFit="1"/>
    </xf>
    <xf numFmtId="173" fontId="0" fillId="7" borderId="1" xfId="0" applyNumberFormat="1" applyFill="1" applyBorder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right" shrinkToFit="1"/>
    </xf>
    <xf numFmtId="0" fontId="8" fillId="0" borderId="0" xfId="0" applyNumberFormat="1" applyFont="1" applyBorder="1" applyAlignment="1" applyProtection="1">
      <alignment horizontal="right" shrinkToFit="1"/>
    </xf>
    <xf numFmtId="177" fontId="11" fillId="0" borderId="0" xfId="0" applyNumberFormat="1" applyFont="1" applyAlignment="1" applyProtection="1">
      <alignment horizontal="left"/>
    </xf>
    <xf numFmtId="0" fontId="9" fillId="5" borderId="2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shrinkToFit="1"/>
    </xf>
    <xf numFmtId="0" fontId="9" fillId="3" borderId="23" xfId="0" applyFont="1" applyFill="1" applyBorder="1" applyAlignment="1" applyProtection="1">
      <alignment horizontal="center"/>
    </xf>
    <xf numFmtId="0" fontId="9" fillId="3" borderId="24" xfId="0" applyFont="1" applyFill="1" applyBorder="1" applyAlignment="1" applyProtection="1">
      <alignment horizontal="center"/>
    </xf>
    <xf numFmtId="0" fontId="9" fillId="3" borderId="25" xfId="0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center" vertical="center" wrapText="1" shrinkToFit="1"/>
    </xf>
    <xf numFmtId="0" fontId="9" fillId="5" borderId="9" xfId="0" applyFont="1" applyFill="1" applyBorder="1" applyAlignment="1" applyProtection="1">
      <alignment horizontal="center" vertical="center" wrapText="1" shrinkToFit="1"/>
    </xf>
    <xf numFmtId="0" fontId="9" fillId="5" borderId="10" xfId="0" applyFont="1" applyFill="1" applyBorder="1" applyAlignment="1" applyProtection="1">
      <alignment horizontal="center" vertical="center" wrapText="1" shrinkToFit="1"/>
    </xf>
    <xf numFmtId="0" fontId="9" fillId="5" borderId="16" xfId="0" applyFont="1" applyFill="1" applyBorder="1" applyAlignment="1" applyProtection="1">
      <alignment horizontal="center" vertical="center" wrapText="1" shrinkToFit="1"/>
    </xf>
    <xf numFmtId="0" fontId="9" fillId="5" borderId="26" xfId="0" applyFont="1" applyFill="1" applyBorder="1" applyAlignment="1" applyProtection="1">
      <alignment horizontal="center" vertical="center" wrapText="1" shrinkToFit="1"/>
    </xf>
    <xf numFmtId="0" fontId="9" fillId="5" borderId="3" xfId="0" applyFont="1" applyFill="1" applyBorder="1" applyAlignment="1" applyProtection="1">
      <alignment horizontal="center" vertical="center" textRotation="90" shrinkToFit="1"/>
    </xf>
    <xf numFmtId="0" fontId="9" fillId="5" borderId="4" xfId="0" applyFont="1" applyFill="1" applyBorder="1" applyAlignment="1" applyProtection="1">
      <alignment horizontal="center" vertical="center" textRotation="90" shrinkToFit="1"/>
    </xf>
    <xf numFmtId="0" fontId="9" fillId="3" borderId="2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shrinkToFit="1"/>
    </xf>
    <xf numFmtId="0" fontId="9" fillId="5" borderId="7" xfId="0" applyFont="1" applyFill="1" applyBorder="1" applyAlignment="1" applyProtection="1">
      <alignment textRotation="90" shrinkToFit="1"/>
    </xf>
    <xf numFmtId="0" fontId="9" fillId="5" borderId="8" xfId="0" applyFont="1" applyFill="1" applyBorder="1" applyAlignment="1" applyProtection="1">
      <alignment textRotation="90" shrinkToFit="1"/>
    </xf>
    <xf numFmtId="167" fontId="4" fillId="5" borderId="4" xfId="0" applyNumberFormat="1" applyFont="1" applyFill="1" applyBorder="1" applyAlignment="1" applyProtection="1">
      <alignment horizontal="center" vertical="top" shrinkToFit="1"/>
    </xf>
    <xf numFmtId="168" fontId="2" fillId="0" borderId="0" xfId="0" applyNumberFormat="1" applyFont="1" applyFill="1" applyBorder="1" applyAlignment="1" applyProtection="1">
      <alignment horizontal="left" shrinkToFit="1"/>
    </xf>
    <xf numFmtId="172" fontId="4" fillId="5" borderId="3" xfId="0" applyNumberFormat="1" applyFont="1" applyFill="1" applyBorder="1" applyAlignment="1" applyProtection="1">
      <alignment horizontal="center" shrinkToFit="1"/>
    </xf>
    <xf numFmtId="0" fontId="9" fillId="5" borderId="35" xfId="0" applyFont="1" applyFill="1" applyBorder="1" applyAlignment="1" applyProtection="1">
      <alignment horizontal="center" vertical="center" shrinkToFit="1"/>
    </xf>
    <xf numFmtId="0" fontId="9" fillId="5" borderId="37" xfId="0" applyFont="1" applyFill="1" applyBorder="1" applyAlignment="1" applyProtection="1">
      <alignment horizontal="center" vertical="center" shrinkToFit="1"/>
    </xf>
    <xf numFmtId="0" fontId="9" fillId="5" borderId="21" xfId="0" applyFont="1" applyFill="1" applyBorder="1" applyAlignment="1" applyProtection="1">
      <alignment horizontal="center" vertical="center" shrinkToFit="1"/>
    </xf>
    <xf numFmtId="0" fontId="9" fillId="5" borderId="38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left" shrinkToFit="1"/>
    </xf>
    <xf numFmtId="165" fontId="17" fillId="8" borderId="16" xfId="1" applyNumberFormat="1" applyFill="1" applyBorder="1" applyAlignment="1" applyProtection="1">
      <alignment horizontal="center" shrinkToFit="1"/>
      <protection locked="0" hidden="1"/>
    </xf>
    <xf numFmtId="165" fontId="17" fillId="8" borderId="21" xfId="1" applyNumberFormat="1" applyFill="1" applyBorder="1" applyAlignment="1" applyProtection="1">
      <alignment horizontal="center" shrinkToFit="1"/>
      <protection locked="0" hidden="1"/>
    </xf>
    <xf numFmtId="165" fontId="17" fillId="8" borderId="36" xfId="1" applyNumberFormat="1" applyFill="1" applyBorder="1" applyAlignment="1" applyProtection="1">
      <alignment horizontal="center" shrinkToFit="1"/>
      <protection locked="0" hidden="1"/>
    </xf>
    <xf numFmtId="0" fontId="7" fillId="0" borderId="0" xfId="0" applyFont="1" applyFill="1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center"/>
    </xf>
    <xf numFmtId="0" fontId="9" fillId="2" borderId="46" xfId="0" applyFont="1" applyFill="1" applyBorder="1" applyAlignment="1" applyProtection="1">
      <alignment horizontal="center" shrinkToFit="1"/>
    </xf>
    <xf numFmtId="0" fontId="16" fillId="0" borderId="0" xfId="0" applyFont="1" applyBorder="1" applyAlignment="1" applyProtection="1">
      <alignment horizontal="right" vertical="center" wrapText="1" indent="5"/>
    </xf>
    <xf numFmtId="0" fontId="16" fillId="0" borderId="0" xfId="0" applyFont="1" applyBorder="1" applyAlignment="1" applyProtection="1">
      <alignment horizontal="right" vertical="center" indent="5"/>
    </xf>
    <xf numFmtId="0" fontId="0" fillId="0" borderId="0" xfId="0" applyFill="1" applyBorder="1" applyAlignment="1" applyProtection="1">
      <alignment horizontal="left" vertical="center" shrinkToFit="1"/>
    </xf>
    <xf numFmtId="0" fontId="9" fillId="0" borderId="47" xfId="0" applyFont="1" applyFill="1" applyBorder="1" applyAlignment="1" applyProtection="1">
      <alignment horizontal="right" shrinkToFit="1"/>
    </xf>
    <xf numFmtId="0" fontId="9" fillId="0" borderId="0" xfId="0" applyFont="1" applyFill="1" applyBorder="1" applyAlignment="1" applyProtection="1">
      <alignment horizontal="right" shrinkToFit="1"/>
    </xf>
    <xf numFmtId="0" fontId="2" fillId="4" borderId="28" xfId="0" applyFont="1" applyFill="1" applyBorder="1" applyAlignment="1" applyProtection="1">
      <alignment horizontal="center" wrapText="1" shrinkToFit="1"/>
      <protection locked="0"/>
    </xf>
    <xf numFmtId="0" fontId="2" fillId="4" borderId="29" xfId="0" applyFont="1" applyFill="1" applyBorder="1" applyAlignment="1" applyProtection="1">
      <alignment horizontal="center" shrinkToFit="1"/>
      <protection locked="0"/>
    </xf>
    <xf numFmtId="0" fontId="2" fillId="4" borderId="30" xfId="0" applyFont="1" applyFill="1" applyBorder="1" applyAlignment="1" applyProtection="1">
      <alignment horizontal="center" shrinkToFit="1"/>
      <protection locked="0"/>
    </xf>
    <xf numFmtId="171" fontId="8" fillId="0" borderId="35" xfId="0" applyNumberFormat="1" applyFont="1" applyFill="1" applyBorder="1" applyAlignment="1" applyProtection="1">
      <alignment horizontal="center" shrinkToFit="1"/>
    </xf>
    <xf numFmtId="178" fontId="8" fillId="0" borderId="35" xfId="0" applyNumberFormat="1" applyFont="1" applyFill="1" applyBorder="1" applyAlignment="1" applyProtection="1">
      <alignment horizontal="center" shrinkToFit="1"/>
    </xf>
    <xf numFmtId="170" fontId="8" fillId="0" borderId="0" xfId="0" applyNumberFormat="1" applyFont="1" applyFill="1" applyBorder="1" applyAlignment="1" applyProtection="1">
      <alignment horizontal="center" shrinkToFit="1"/>
    </xf>
    <xf numFmtId="0" fontId="4" fillId="3" borderId="3" xfId="0" applyFont="1" applyFill="1" applyBorder="1" applyAlignment="1" applyProtection="1">
      <alignment horizontal="center" vertical="center" textRotation="90" wrapText="1"/>
    </xf>
    <xf numFmtId="0" fontId="4" fillId="3" borderId="15" xfId="0" applyFont="1" applyFill="1" applyBorder="1" applyAlignment="1" applyProtection="1">
      <alignment horizontal="center" vertical="center" textRotation="90" wrapText="1"/>
    </xf>
    <xf numFmtId="0" fontId="4" fillId="3" borderId="4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shrinkToFit="1"/>
    </xf>
    <xf numFmtId="0" fontId="9" fillId="0" borderId="0" xfId="0" applyFont="1" applyFill="1" applyBorder="1" applyAlignment="1" applyProtection="1">
      <alignment horizontal="center" shrinkToFit="1"/>
    </xf>
    <xf numFmtId="0" fontId="9" fillId="0" borderId="1" xfId="0" applyFont="1" applyFill="1" applyBorder="1" applyAlignment="1" applyProtection="1">
      <alignment horizontal="center" shrinkToFit="1"/>
      <protection locked="0"/>
    </xf>
    <xf numFmtId="0" fontId="2" fillId="4" borderId="44" xfId="0" applyFont="1" applyFill="1" applyBorder="1" applyAlignment="1" applyProtection="1">
      <alignment horizontal="center" shrinkToFit="1"/>
      <protection locked="0"/>
    </xf>
    <xf numFmtId="0" fontId="2" fillId="4" borderId="1" xfId="0" applyFont="1" applyFill="1" applyBorder="1" applyAlignment="1" applyProtection="1">
      <alignment horizontal="center" shrinkToFit="1"/>
      <protection locked="0"/>
    </xf>
    <xf numFmtId="0" fontId="2" fillId="0" borderId="43" xfId="0" applyFont="1" applyBorder="1" applyAlignment="1" applyProtection="1">
      <alignment horizontal="center" wrapText="1"/>
    </xf>
  </cellXfs>
  <cellStyles count="2">
    <cellStyle name="Hypertextový odkaz" xfId="1" builtinId="8"/>
    <cellStyle name="Normální" xfId="0" builtinId="0"/>
  </cellStyles>
  <dxfs count="17"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5"/>
        </patternFill>
      </fill>
    </dxf>
    <dxf>
      <font>
        <color theme="5"/>
      </font>
    </dxf>
    <dxf>
      <font>
        <strike/>
        <color rgb="FFFF000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solid">
          <bgColor rgb="FFFF0000"/>
        </patternFill>
      </fill>
      <border>
        <vertical/>
        <horizontal/>
      </border>
    </dxf>
    <dxf>
      <fill>
        <patternFill>
          <bgColor rgb="FF66FF66"/>
        </patternFill>
      </fill>
    </dxf>
    <dxf>
      <font>
        <strike/>
        <color rgb="FFFF000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  <border>
        <vertical/>
        <horizontal/>
      </border>
    </dxf>
    <dxf>
      <font>
        <color rgb="FF00B050"/>
      </font>
    </dxf>
    <dxf>
      <fill>
        <gradientFill degree="180">
          <stop position="0">
            <color rgb="FFFFFFCC"/>
          </stop>
          <stop position="1">
            <color theme="0" tint="-5.0965910824915313E-2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FF0000"/>
      </font>
      <fill>
        <patternFill patternType="none">
          <bgColor auto="1"/>
        </patternFill>
      </fill>
    </dxf>
    <dxf>
      <font>
        <b/>
        <i/>
        <strike val="0"/>
        <color rgb="FF0070C0"/>
      </font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0000"/>
      <color rgb="FFDEFF81"/>
      <color rgb="FFCCFF33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7620</xdr:rowOff>
        </xdr:from>
        <xdr:to>
          <xdr:col>1</xdr:col>
          <xdr:colOff>6362700</xdr:colOff>
          <xdr:row>50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7620</xdr:rowOff>
        </xdr:from>
        <xdr:to>
          <xdr:col>3</xdr:col>
          <xdr:colOff>6507480</xdr:colOff>
          <xdr:row>52</xdr:row>
          <xdr:rowOff>60960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2</xdr:col>
          <xdr:colOff>236220</xdr:colOff>
          <xdr:row>53</xdr:row>
          <xdr:rowOff>38100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0</xdr:row>
          <xdr:rowOff>0</xdr:rowOff>
        </xdr:from>
        <xdr:to>
          <xdr:col>3</xdr:col>
          <xdr:colOff>5775960</xdr:colOff>
          <xdr:row>51</xdr:row>
          <xdr:rowOff>144780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6</xdr:row>
      <xdr:rowOff>22860</xdr:rowOff>
    </xdr:from>
    <xdr:to>
      <xdr:col>1</xdr:col>
      <xdr:colOff>135869</xdr:colOff>
      <xdr:row>6</xdr:row>
      <xdr:rowOff>541020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304813"/>
          <a:ext cx="498491" cy="5181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1</xdr:col>
          <xdr:colOff>160020</xdr:colOff>
          <xdr:row>1</xdr:row>
          <xdr:rowOff>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000" tIns="0" rIns="18000" bIns="0" anchor="ctr" upright="1"/>
            <a:lstStyle/>
            <a:p>
              <a:pPr algn="ctr" rtl="0">
                <a:defRPr sz="1000"/>
              </a:pPr>
              <a:r>
                <a:rPr lang="cs-CZ" sz="1100" b="1" i="0" u="sng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ENGLISH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22860</xdr:colOff>
          <xdr:row>4</xdr:row>
          <xdr:rowOff>0</xdr:rowOff>
        </xdr:from>
        <xdr:to>
          <xdr:col>4</xdr:col>
          <xdr:colOff>358140</xdr:colOff>
          <xdr:row>5</xdr:row>
          <xdr:rowOff>15240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cs-CZ" sz="1100" b="1" i="0" u="sng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Kopie listů do konce roku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91440</xdr:rowOff>
        </xdr:from>
        <xdr:to>
          <xdr:col>4</xdr:col>
          <xdr:colOff>358140</xdr:colOff>
          <xdr:row>2</xdr:row>
          <xdr:rowOff>7620</xdr:rowOff>
        </xdr:to>
        <xdr:sp macro="" textlink="">
          <xdr:nvSpPr>
            <xdr:cNvPr id="1072" name="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2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0" tIns="0" rIns="0" bIns="0" anchor="ctr" upright="1"/>
            <a:lstStyle/>
            <a:p>
              <a:pPr algn="ctr" rtl="0">
                <a:defRPr sz="1000"/>
              </a:pPr>
              <a:r>
                <a:rPr lang="cs-CZ" sz="900" b="1" i="0" u="sng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Název</a:t>
              </a:r>
            </a:p>
            <a:p>
              <a:pPr algn="ctr" rtl="0">
                <a:defRPr sz="1000"/>
              </a:pPr>
              <a:r>
                <a:rPr lang="cs-CZ" sz="900" b="1" i="0" u="sng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listu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Dokument_aplikace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Dokument_aplikace_Microsoft_Word3.docx"/><Relationship Id="rId5" Type="http://schemas.openxmlformats.org/officeDocument/2006/relationships/image" Target="../media/image3.emf"/><Relationship Id="rId4" Type="http://schemas.openxmlformats.org/officeDocument/2006/relationships/package" Target="../embeddings/Dokument_aplikace_Microsoft_Word2.docx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2.xml"/><Relationship Id="rId2" Type="http://schemas.openxmlformats.org/officeDocument/2006/relationships/hyperlink" Target="https://eo.vse.cz/formulare/osobni-administrativa/evidence-odpracovane-doby/" TargetMode="External"/><Relationship Id="rId1" Type="http://schemas.openxmlformats.org/officeDocument/2006/relationships/hyperlink" Target="https://eo.vse.cz/formulare/osobni-administrativa/evidence-dochazky-za-mesic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92D050"/>
  </sheetPr>
  <dimension ref="A1"/>
  <sheetViews>
    <sheetView showGridLines="0" zoomScaleNormal="100" workbookViewId="0">
      <selection activeCell="F18" sqref="F18"/>
    </sheetView>
  </sheetViews>
  <sheetFormatPr defaultColWidth="12.6640625" defaultRowHeight="14.4" x14ac:dyDescent="0.3"/>
  <cols>
    <col min="1" max="1" width="3.6640625" customWidth="1"/>
    <col min="2" max="2" width="95.6640625" customWidth="1"/>
    <col min="3" max="3" width="3.6640625" customWidth="1"/>
    <col min="4" max="4" width="95.6640625" customWidth="1"/>
  </cols>
  <sheetData/>
  <pageMargins left="0.39370078740157483" right="0.39370078740157483" top="0.39370078740157483" bottom="0.39370078740157483" header="0.31496062992125984" footer="0.31496062992125984"/>
  <pageSetup paperSize="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6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7620</xdr:rowOff>
              </from>
              <to>
                <xdr:col>1</xdr:col>
                <xdr:colOff>6362700</xdr:colOff>
                <xdr:row>50</xdr:row>
                <xdr:rowOff>0</xdr:rowOff>
              </to>
            </anchor>
          </objectPr>
        </oleObject>
      </mc:Choice>
      <mc:Fallback>
        <oleObject progId="Word.Document.12" shapeId="3076" r:id="rId4"/>
      </mc:Fallback>
    </mc:AlternateContent>
    <mc:AlternateContent xmlns:mc="http://schemas.openxmlformats.org/markup-compatibility/2006">
      <mc:Choice Requires="x14">
        <oleObject progId="Word.Document.12" shapeId="3078" r:id="rId6">
          <objectPr defaultSize="0" r:id="rId7">
            <anchor moveWithCells="1">
              <from>
                <xdr:col>3</xdr:col>
                <xdr:colOff>0</xdr:colOff>
                <xdr:row>0</xdr:row>
                <xdr:rowOff>7620</xdr:rowOff>
              </from>
              <to>
                <xdr:col>3</xdr:col>
                <xdr:colOff>6507480</xdr:colOff>
                <xdr:row>52</xdr:row>
                <xdr:rowOff>60960</xdr:rowOff>
              </to>
            </anchor>
          </objectPr>
        </oleObject>
      </mc:Choice>
      <mc:Fallback>
        <oleObject progId="Word.Document.12" shapeId="3078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rgb="FF92D050"/>
  </sheetPr>
  <dimension ref="A1"/>
  <sheetViews>
    <sheetView showGridLines="0" zoomScaleNormal="100" workbookViewId="0">
      <selection activeCell="E34" sqref="E34"/>
    </sheetView>
  </sheetViews>
  <sheetFormatPr defaultColWidth="12.6640625" defaultRowHeight="14.4" x14ac:dyDescent="0.3"/>
  <cols>
    <col min="1" max="1" width="3.6640625" style="41" customWidth="1"/>
    <col min="2" max="2" width="95.6640625" style="41" customWidth="1"/>
    <col min="3" max="3" width="3.6640625" style="41" customWidth="1"/>
    <col min="4" max="4" width="95.6640625" style="41" customWidth="1"/>
    <col min="5" max="16384" width="12.6640625" style="41"/>
  </cols>
  <sheetData/>
  <pageMargins left="0.39370078740157483" right="0.39370078740157483" top="0.39370078740157483" bottom="0.39370078740157483" header="0.31496062992125984" footer="0.31496062992125984"/>
  <pageSetup paperSize="9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2</xdr:col>
                <xdr:colOff>236220</xdr:colOff>
                <xdr:row>53</xdr:row>
                <xdr:rowOff>38100</xdr:rowOff>
              </to>
            </anchor>
          </objectPr>
        </oleObject>
      </mc:Choice>
      <mc:Fallback>
        <oleObject progId="Word.Document.12" shapeId="6145" r:id="rId4"/>
      </mc:Fallback>
    </mc:AlternateContent>
    <mc:AlternateContent xmlns:mc="http://schemas.openxmlformats.org/markup-compatibility/2006">
      <mc:Choice Requires="x14">
        <oleObject progId="Word.Document.12" shapeId="6146" r:id="rId6">
          <objectPr defaultSize="0" r:id="rId7">
            <anchor moveWithCells="1">
              <from>
                <xdr:col>3</xdr:col>
                <xdr:colOff>30480</xdr:colOff>
                <xdr:row>0</xdr:row>
                <xdr:rowOff>0</xdr:rowOff>
              </from>
              <to>
                <xdr:col>3</xdr:col>
                <xdr:colOff>5775960</xdr:colOff>
                <xdr:row>51</xdr:row>
                <xdr:rowOff>144780</xdr:rowOff>
              </to>
            </anchor>
          </objectPr>
        </oleObject>
      </mc:Choice>
      <mc:Fallback>
        <oleObject progId="Word.Document.12" shapeId="6146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rgb="FFFFC000"/>
    <pageSetUpPr fitToPage="1"/>
  </sheetPr>
  <dimension ref="A1:BA70"/>
  <sheetViews>
    <sheetView showGridLines="0" tabSelected="1" zoomScaleNormal="100" workbookViewId="0">
      <selection activeCell="C2" sqref="C2"/>
    </sheetView>
  </sheetViews>
  <sheetFormatPr defaultColWidth="8.88671875" defaultRowHeight="14.4" x14ac:dyDescent="0.3"/>
  <cols>
    <col min="1" max="1" width="5.6640625" style="1" customWidth="1"/>
    <col min="2" max="2" width="4.6640625" style="1" customWidth="1"/>
    <col min="3" max="4" width="6" style="1" customWidth="1"/>
    <col min="5" max="5" width="5.33203125" style="1" customWidth="1"/>
    <col min="6" max="6" width="3.33203125" style="1" customWidth="1"/>
    <col min="7" max="12" width="6.109375" style="1" customWidth="1"/>
    <col min="13" max="13" width="21.5546875" style="1" bestFit="1" customWidth="1"/>
    <col min="14" max="14" width="7.88671875" style="1" customWidth="1"/>
    <col min="15" max="15" width="2.109375" style="1" customWidth="1"/>
    <col min="16" max="16" width="7" style="1" customWidth="1"/>
    <col min="17" max="17" width="1.6640625" style="1" customWidth="1"/>
    <col min="18" max="18" width="7.33203125" style="1" customWidth="1"/>
    <col min="19" max="19" width="2.6640625" style="9" customWidth="1"/>
    <col min="20" max="22" width="7.88671875" style="1" customWidth="1"/>
    <col min="23" max="23" width="50.6640625" style="1" customWidth="1"/>
    <col min="24" max="24" width="50.77734375" style="1" customWidth="1"/>
    <col min="25" max="26" width="50.77734375" style="18" customWidth="1"/>
    <col min="27" max="52" width="3.6640625" style="1" customWidth="1"/>
    <col min="54" max="16384" width="8.88671875" style="1"/>
  </cols>
  <sheetData>
    <row r="1" spans="1:52" ht="15" customHeight="1" thickBot="1" x14ac:dyDescent="0.35">
      <c r="A1" s="63" t="s">
        <v>3</v>
      </c>
      <c r="B1" s="58"/>
      <c r="C1" s="58" t="str">
        <f>IF(_JAZYK&lt;&gt;"en","Měsíc","Month")</f>
        <v>Měsíc</v>
      </c>
      <c r="D1" s="58" t="str">
        <f>IF(_JAZYK&lt;&gt;"en","Rok","Year")</f>
        <v>Rok</v>
      </c>
      <c r="E1" s="167"/>
      <c r="F1" s="64"/>
      <c r="G1" s="152" t="str">
        <f>IF(_JAZYK&lt;&gt;"en","Práce (od-do)","Work (from-to)")</f>
        <v>Práce (od-do)</v>
      </c>
      <c r="H1" s="152"/>
      <c r="I1" s="152" t="str">
        <f>IF(_JAZYK&lt;&gt;"en","Přest.1 (od-do)","Break1(from-to)")</f>
        <v>Přest.1 (od-do)</v>
      </c>
      <c r="J1" s="152"/>
      <c r="K1" s="152" t="str">
        <f>IF(_JAZYK&lt;&gt;"en","Přest.2 (od-do)","Break2(from-to)")</f>
        <v>Přest.2 (od-do)</v>
      </c>
      <c r="L1" s="152"/>
      <c r="M1" s="156" t="str">
        <f>IF(_JAZYK&lt;&gt;"en","Údaje o osobě a vztahu pro vyplnění do formuláře","Information about the person and relationship for filling in the form")</f>
        <v>Údaje o osobě a vztahu pro vyplnění do formuláře</v>
      </c>
      <c r="N1" s="157"/>
      <c r="O1" s="157"/>
      <c r="P1" s="157"/>
      <c r="Q1" s="157"/>
      <c r="R1" s="157"/>
      <c r="S1" s="67" t="str">
        <f>IF(_JAZYK&lt;&gt;"en","Ch?","Err?")</f>
        <v>Ch?</v>
      </c>
      <c r="W1" s="57" t="str">
        <f>IF(_JAZYK&lt;&gt;"en","Popis chyby","Description of an error")</f>
        <v>Popis chyby</v>
      </c>
      <c r="X1" s="56"/>
      <c r="AZ1" s="1">
        <v>1</v>
      </c>
    </row>
    <row r="2" spans="1:52" ht="16.2" customHeight="1" thickBot="1" x14ac:dyDescent="0.35">
      <c r="A2" s="164" t="str">
        <f>IF(_JAZYK&lt;&gt;"en","Parametry"&amp;CHAR(10)&amp;"(netiskne se)","Parameters"&amp;CHAR(10)&amp;"(not printing)")</f>
        <v>Parametry
(netiskne se)</v>
      </c>
      <c r="B2" s="59"/>
      <c r="C2" s="68"/>
      <c r="D2" s="69"/>
      <c r="E2" s="168"/>
      <c r="F2" s="39" t="str">
        <f>IF(_JAZYK&lt;&gt;"en","po","Mo")</f>
        <v>po</v>
      </c>
      <c r="G2" s="50"/>
      <c r="H2" s="50"/>
      <c r="I2" s="50"/>
      <c r="J2" s="50"/>
      <c r="K2" s="50"/>
      <c r="L2" s="50"/>
      <c r="M2" s="65" t="str">
        <f>IF(_JAZYK&lt;&gt;"en","Jméno zaměstnance","Employee's name")</f>
        <v>Jméno zaměstnance</v>
      </c>
      <c r="N2" s="158"/>
      <c r="O2" s="159"/>
      <c r="P2" s="159"/>
      <c r="Q2" s="159"/>
      <c r="R2" s="160"/>
      <c r="S2" s="2" t="str">
        <f t="shared" ref="S2:S6" si="0">+IF(LEFT(W2,1)="[","❢","")</f>
        <v>❢</v>
      </c>
      <c r="W2" s="3" t="str">
        <f>+IF(AA2&lt;&gt;"ok",AA2,"")&amp;IF(AB2&lt;&gt;"ok",AB2,"")&amp;IF(AC2&lt;&gt;"ok",AC2,"")&amp;IF(AD2&lt;&gt;"ok",AD2,"")</f>
        <v xml:space="preserve">[měsíc a rok není vyplněn - nutné pro fungování formuláře] </v>
      </c>
      <c r="AA2" s="1" t="str">
        <f>+IF(AND(ISBLANK(_MESIC),ISBLANK(_ROK)),IF(_JAZYK&lt;&gt;"en","[měsíc a rok není vyplněn - nutné pro fungování formuláře] ","[month and year not filled in - necessary for the form to work] "),IF(ISBLANK(_MESIC),IF(_JAZYK&lt;&gt;"en","[měsíc není vyplněn] ","[month not filled]"),IF(ISBLANK(_ROK),IF(_JAZYK&lt;&gt;"en","[rok není vyplněn] ","[year not completed] "),"ok")))</f>
        <v xml:space="preserve">[měsíc a rok není vyplněn - nutné pro fungování formuláře] </v>
      </c>
      <c r="AB2" s="1" t="str">
        <f>IF(OR(ISBLANK(_ROK),ISBLANK(_MESIC),AND(A2="-",AZ2&gt;10)),"",
IF(AND(NOT(ISBLANK(IF(G2="-",,G2))),ISBLANK(IF(H2="-",,H2))),IF(_JAZYK&lt;&gt;"en","[není vyplněn čas 'práce do'] ","[not filled in 'work to' time] "),
IF(AND(ISBLANK(IF(G2="-",,G2)),NOT(ISBLANK(IF(G2="-",,H2)))),IF(_JAZYK&lt;&gt;"en","[není vyplněn čas 'práce od'] ","[not filled in 'work from' time] "),
IF(AND(NOT(ISBLANK(IF(I2="-",,I2))),ISBLANK(IF(J2="-",,J2))),IF(_JAZYK&lt;&gt;"en","[není vyplněn čas 'přestávka1 do'] ","[time 'break1 to' not filled in] "),
IF(AND(ISBLANK(IF(I2="-",,I2)),NOT(ISBLANK(IF(J2="-",,J2)))),IF(_JAZYK&lt;&gt;"en","[není vyplněn čas 'přestávka1 od'] ","[time 'break1 from' not filled in] "),
IF(AND(NOT(ISBLANK(IF(K2="-",,K2))),ISBLANK(IF(L2="-",,L2))),IF(_JAZYK&lt;&gt;"en","[není vyplněn čas 'přestávka2 do'] ","[time 'break2 to' not filled in] "),
IF(AND(ISBLANK(IF(K2="-",,K2)),NOT(ISBLANK(IF(L2="-",,L2)))),IF(_JAZYK&lt;&gt;"en","[není vyplněn čas 'přestávka2 od'] ","[not filled in 'break2 from' time] "),
IF(INT((IF(ISBLANK(IF(H2="-",,H2)),0,H2))*24*60)&lt;INT((IF(ISBLANK(IF(G2="-",,G2)),0,G2))*24*60),IF(_JAZYK&lt;&gt;"en","[čas 'práce od' musí začínat dříve než 'práce do'] ","[time 'work from' must start before 'work to'] "),
IF(AND(OR(NOT(ISBLANK(IF(I2="-",,I2))),NOT(ISBLANK(IF(J2="-",,J2))),NOT(ISBLANK(IF(K2="-",,K2))),NOT(ISBLANK(IF(L2="-",,L2)))),ISBLANK(IF(G2="-",,G2)),ISBLANK(IF(H2="-",,H2))),IF(_JAZYK&lt;&gt;"en","[není vyplněna 'práce od - do', ačkoliv je vyplněna přestávka] ","[not completed 'work from - to', although break is filled] "),
IF(INT((IF(ISBLANK(IF(G2="-",,G2)),0,G2))*24*60)&gt;=INT((IF(ISBLANK(IF(I2="-",,I2)),1,I2))*24*60),IF(_JAZYK&lt;&gt;"en","[čas 'práce od' musí začínat dříve než přestávka1] ","[time 'work from' must start before break1] "),
IF(INT((IF(ISBLANK(IF(H2="-",,H2)),1,H2))*24*60)&lt;=INT((IF(ISBLANK(IF(J2="-",,J2)),0,J2))*24*60),IF(_JAZYK&lt;&gt;"en","[čas 'práce do' musí končit později než přestávka1] ","[time 'work to' must end later than break1] "),
IF(INT((IF(ISBLANK(IF(G2="-",,G2)),0,G2))*24*60)&gt;=INT((IF(ISBLANK(IF(K2="-",,K2)),1,K2))*24*60),IF(_JAZYK&lt;&gt;"en","[čas 'práce od' musí začínat dříve než přestávka2] ","[time 'work from' must start before break2] "),
IF(INT((IF(ISBLANK(IF(H2="-",,H2)),1,H2))*24*60)&lt;=INT((IF(ISBLANK(IF(L2="-",,L2)),0,L2))*24*60),IF(_JAZYK&lt;&gt;"en","[čas 'práce do' musí končit později než přestávka2] ","[time 'work to' must end later than break2] "),
IF(INT((IF(ISBLANK(IF(J2="-",,J2)),0,J2))*24*60)&gt;=INT((IF(ISBLANK(IF(K2="-",,K2)),1,K2))*24*60),IF(_JAZYK&lt;&gt;"en","[přestávka1 musí začínat dříve přestávka2] ","[break1 must start before break2] "),
IF(INT((IF(ISBLANK(IF(J2="-",,J2)),0,J2))*24*60)&lt;INT((IF(ISBLANK(IF(I2="-",,I2)),0,I2))*24*60),IF(_JAZYK&lt;&gt;"en","[čas 'přestávky1 od' nemůže být později než čas 'přestávky1 do'] ","[time 'break1 from' cannot be later than time 'break1 to'] "),
IF(INT((IF(ISBLANK(IF(L2="-",,L2)),0,L2))*24*60)&lt;INT((IF(ISBLANK(IF(K2="-",,K2)),0,K2))*24*60),IF(_JAZYK&lt;&gt;"en","[čas 'přestávky2 od' nemůže být později než čas 'přestávky2 do'] ","[time 'break2 from' cannot be later than time 'break2 to'] "),
IF(AND(IF(AZ2&lt;10,TRUE,INT(Q2*24*60)&gt;(6*60)),(INT((IF(ISBLANK(IF(H2="-",,H2)),0,H2))*24*60)-INT((IF(ISBLANK(IF(G2="-",,G2)),0,G2))*24*60))&gt;(6*60),INT((IF(ISBLANK(IF(I2="-",,I2)),0,I2))*24*60)=0),IF(_JAZYK&lt;&gt;"en","[nejdéle po 6 hodinách od 'práce od' musí být přestávka1] ","[no more than 6 hours after 'work from' must be a break1] "),
IF(AND(IF(AZ2&lt;10,TRUE,INT(Q2*24*60)&gt;(6*60)),(INT((IF(ISBLANK(IF(H2="-",,H2)),0,H2))*24*60)-INT((IF(ISBLANK(IF(J2="-",,J2)),0,J2))*24*60))&gt;(6*60),INT((IF(ISBLANK(IF(I2="-",,I2)),0,I2))*24*60)&gt;0,INT((IF(ISBLANK(IF(K2="-",,K2)),0,K2))*24*60)=0),IF(_JAZYK&lt;&gt;"en","[nejdéle po 6 hodinách od 'přestávka1 do' musí být přestávka2] ","[no more than 6 hours after 'break1 to' must be break2] "),
IF(AND(IF(AZ2&lt;10,TRUE,INT(Q2*24*60)&gt;(6*60)),(INT((IF(ISBLANK(IF(H2="-",,H2)),0,H2))*24*60)-INT((IF(ISBLANK(IF(L2="-",,L2)),0,L2))*24*60))&gt;(6*60),INT((IF(ISBLANK(IF(I2="-",,I2)),0,I2))*24*60)&gt;0,INT((IF(ISBLANK(IF(K2="-",,K2)),0,K2))*24*60)&gt;0),IF(_JAZYK&lt;&gt;"en","[doba mezi 'přestávka2 do' a 'práce do' nemůže být delší než 6 hodin] ","[time between 'break2 to' and 'work to' cannot be longer than 6 hours] "),
IF(AND(IF(AZ2&lt;10,TRUE,INT(Q2*24*60)&gt;(6*60)),(INT((IF(ISBLANK(IF(I2="-",,I2)),0,I2))*24*60)-INT((IF(ISBLANK(IF(G2="-",,G2)),0,G2))*24*60))&gt;(6*60)),IF(_JAZYK&lt;&gt;"en","[přestávka1 musí být nejdéle po 6 hodinách od 'práce od'] ","[break1 must be no later than 6 hours after 'work from'] "),
IF(AND(IF(AZ2&lt;10,TRUE,INT(Q2*24*60)&gt;(6*60)),(INT((IF(ISBLANK(IF(K2="-",,K2)),0,K2))*24*60)-INT((IF(ISBLANK(IF(J2="-",,J2)),0,J2))*24*60))&gt;(6*60)),IF(_JAZYK&lt;&gt;"en","[přestávka2 musí být nejdéle po 6 hodinách od konce přestávky1] ","[break2 must be no later than 6 hours after end of break1] "),
IF((INT((IF(ISBLANK(IF(J2="-",,J2)),1,J2))*24*60)-INT((IF(ISBLANK(IF(I2="-",,I2)),0,I2))*24*60))&lt;15,IF(_JAZYK&lt;&gt;"en","[přestávka1 musí trvat alespoň 15 minut] ","[break1 must last at least 15 minutes] "),
IF((INT((IF(ISBLANK(IF(L2="-",,L2)),1,L2))*24*60)-INT((IF(ISBLANK(IF(K2="-",,K2)),0,K2))*24*60))&lt;15,IF(_JAZYK&lt;&gt;"en","[přestávka2 musí trvat alespoň 15 minut] ","[break2 must last at least 15 minutes] "),
"ok")))))))))))))))))))))))</f>
        <v/>
      </c>
      <c r="AC2" s="4" t="str">
        <f>IF(OR(ISBLANK(_ROK),ISBLANK(_MESIC)),"",IF(ISBLANK(N2),IF(_JAZYK&lt;&gt;"en","[není vyplněno jméno zaměstnance] ","[employee name not filled in] "),
IF(AND(NOT(ISBLANK(N2)),N2&lt;&gt;C8),IF(_JAZYK&lt;&gt;"en","[údaj v parametru '"&amp;M2&amp;"' je jiný než je údaj uvedený ve formuláři] ","[the value in '" &amp; M2 &amp; "'is different from the form] "),
IF(ISBLANK(N2),"ok",IF(ISERR(SEARCH(" ",TRIM(N2))),IF(_JAZYK&lt;&gt;"en","[chybí mezera mezi jménem a příjmením zaměstnance] ","[missing space between employee's first and last name] "),
IF(LEN(N2)&lt;5,IF(_JAZYK&lt;&gt;"en","[jméno zaměstnance je příliš krátké] ","[employee name too short] "),"ok"))))))</f>
        <v/>
      </c>
      <c r="AZ2" s="1">
        <f>+AZ1+1</f>
        <v>2</v>
      </c>
    </row>
    <row r="3" spans="1:52" x14ac:dyDescent="0.3">
      <c r="A3" s="165"/>
      <c r="B3" s="59"/>
      <c r="C3" s="161" t="str">
        <f>IF(OR(ISBLANK(_ROK),ISBLANK(_MESIC)),"",
(COUNTIF(_TAB_DEN_DDD,IF(_JAZYK&lt;&gt;"en","po","Mo"))+
COUNTIF(_TAB_DEN_DDD,IF(_JAZYK&lt;&gt;"en","út","Tu"))+
COUNTIF(_TAB_DEN_DDD,IF(_JAZYK&lt;&gt;"en","st","We"))+
COUNTIF(_TAB_DEN_DDD,IF(_JAZYK&lt;&gt;"en","čt","Th"))+
COUNTIF(_TAB_DEN_DDD,IF(_JAZYK&lt;&gt;"en","pá","Fr")))
*8)</f>
        <v/>
      </c>
      <c r="D3" s="162"/>
      <c r="E3" s="60"/>
      <c r="F3" s="39" t="str">
        <f>IF(_JAZYK&lt;&gt;"en","út","Tu")</f>
        <v>út</v>
      </c>
      <c r="G3" s="50"/>
      <c r="H3" s="50"/>
      <c r="I3" s="50"/>
      <c r="J3" s="50"/>
      <c r="K3" s="50"/>
      <c r="L3" s="50"/>
      <c r="M3" s="65" t="str">
        <f>IF(_JAZYK&lt;&gt;"en","Pracoviště","Workplace")</f>
        <v>Pracoviště</v>
      </c>
      <c r="N3" s="83"/>
      <c r="O3" s="84"/>
      <c r="P3" s="84"/>
      <c r="Q3" s="84"/>
      <c r="R3" s="85"/>
      <c r="S3" s="2" t="str">
        <f t="shared" si="0"/>
        <v/>
      </c>
      <c r="W3" s="3" t="str">
        <f t="shared" ref="W3:W12" si="1">+IF(AA3&lt;&gt;"ok",AA3,"")&amp;IF(AB3&lt;&gt;"ok",AB3,"")&amp;IF(AC3&lt;&gt;"ok",AC3,"")&amp;IF(AD3&lt;&gt;"ok",AD3,"")</f>
        <v/>
      </c>
      <c r="AB3" s="1" t="str">
        <f>IF(OR(ISBLANK(_ROK),ISBLANK(_MESIC),AND(A3="-",AZ3&gt;10)),"",
IF(AND(NOT(ISBLANK(IF(G3="-",,G3))),ISBLANK(IF(H3="-",,H3))),IF(_JAZYK&lt;&gt;"en","[není vyplněn čas 'práce do'] ","[not filled in 'work to' time] "),
IF(AND(ISBLANK(IF(G3="-",,G3)),NOT(ISBLANK(IF(G3="-",,H3)))),IF(_JAZYK&lt;&gt;"en","[není vyplněn čas 'práce od'] ","[not filled in 'work from' time] "),
IF(AND(NOT(ISBLANK(IF(I3="-",,I3))),ISBLANK(IF(J3="-",,J3))),IF(_JAZYK&lt;&gt;"en","[není vyplněn čas 'přestávka1 do'] ","[time 'break1 to' not filled in] "),
IF(AND(ISBLANK(IF(I3="-",,I3)),NOT(ISBLANK(IF(J3="-",,J3)))),IF(_JAZYK&lt;&gt;"en","[není vyplněn čas 'přestávka1 od'] ","[time 'break1 from' not filled in] "),
IF(AND(NOT(ISBLANK(IF(K3="-",,K3))),ISBLANK(IF(L3="-",,L3))),IF(_JAZYK&lt;&gt;"en","[není vyplněn čas 'přestávka2 do'] ","[time 'break2 to' not filled in] "),
IF(AND(ISBLANK(IF(K3="-",,K3)),NOT(ISBLANK(IF(L3="-",,L3)))),IF(_JAZYK&lt;&gt;"en","[není vyplněn čas 'přestávka2 od'] ","[not filled in 'break2 from' time] "),
IF(INT((IF(ISBLANK(IF(H3="-",,H3)),0,H3))*24*60)&lt;INT((IF(ISBLANK(IF(G3="-",,G3)),0,G3))*24*60),IF(_JAZYK&lt;&gt;"en","[čas 'práce od' musí začínat dříve než 'práce do'] ","[time 'work from' must start before 'work to'] "),
IF(AND(OR(NOT(ISBLANK(IF(I3="-",,I3))),NOT(ISBLANK(IF(J3="-",,J3))),NOT(ISBLANK(IF(K3="-",,K3))),NOT(ISBLANK(IF(L3="-",,L3)))),ISBLANK(IF(G3="-",,G3)),ISBLANK(IF(H3="-",,H3))),IF(_JAZYK&lt;&gt;"en","[není vyplněna 'práce od - do', ačkoliv je vyplněna přestávka] ","[not completed 'work from - to', although break is filled] "),
IF(INT((IF(ISBLANK(IF(G3="-",,G3)),0,G3))*24*60)&gt;=INT((IF(ISBLANK(IF(I3="-",,I3)),1,I3))*24*60),IF(_JAZYK&lt;&gt;"en","[čas 'práce od' musí začínat dříve než přestávka1] ","[time 'work from' must start before break1] "),
IF(INT((IF(ISBLANK(IF(H3="-",,H3)),1,H3))*24*60)&lt;=INT((IF(ISBLANK(IF(J3="-",,J3)),0,J3))*24*60),IF(_JAZYK&lt;&gt;"en","[čas 'práce do' musí končit později než přestávka1] ","[time 'work to' must end later than break1] "),
IF(INT((IF(ISBLANK(IF(G3="-",,G3)),0,G3))*24*60)&gt;=INT((IF(ISBLANK(IF(K3="-",,K3)),1,K3))*24*60),IF(_JAZYK&lt;&gt;"en","[čas 'práce od' musí začínat dříve než přestávka2] ","[time 'work from' must start before break2] "),
IF(INT((IF(ISBLANK(IF(H3="-",,H3)),1,H3))*24*60)&lt;=INT((IF(ISBLANK(IF(L3="-",,L3)),0,L3))*24*60),IF(_JAZYK&lt;&gt;"en","[čas 'práce do' musí končit později než přestávka2] ","[time 'work to' must end later than break2] "),
IF(INT((IF(ISBLANK(IF(J3="-",,J3)),0,J3))*24*60)&gt;=INT((IF(ISBLANK(IF(K3="-",,K3)),1,K3))*24*60),IF(_JAZYK&lt;&gt;"en","[přestávka1 musí začínat dříve přestávka2] ","[break1 must start before break2] "),
IF(INT((IF(ISBLANK(IF(J3="-",,J3)),0,J3))*24*60)&lt;INT((IF(ISBLANK(IF(I3="-",,I3)),0,I3))*24*60),IF(_JAZYK&lt;&gt;"en","[čas 'přestávky1 od' nemůže být později než čas 'přestávky1 do'] ","[time 'break1 from' cannot be later than time 'break1 to'] "),
IF(INT((IF(ISBLANK(IF(L3="-",,L3)),0,L3))*24*60)&lt;INT((IF(ISBLANK(IF(K3="-",,K3)),0,K3))*24*60),IF(_JAZYK&lt;&gt;"en","[čas 'přestávky2 od' nemůže být později než čas 'přestávky2 do'] ","[time 'break2 from' cannot be later than time 'break2 to'] "),
IF(AND(IF(AZ3&lt;10,TRUE,INT(Q3*24*60)&gt;(6*60)),(INT((IF(ISBLANK(IF(H3="-",,H3)),0,H3))*24*60)-INT((IF(ISBLANK(IF(G3="-",,G3)),0,G3))*24*60))&gt;(6*60),INT((IF(ISBLANK(IF(I3="-",,I3)),0,I3))*24*60)=0),IF(_JAZYK&lt;&gt;"en","[nejdéle po 6 hodinách od 'práce od' musí být přestávka1] ","[no more than 6 hours after 'work from' must be a break1] "),
IF(AND(IF(AZ3&lt;10,TRUE,INT(Q3*24*60)&gt;(6*60)),(INT((IF(ISBLANK(IF(H3="-",,H3)),0,H3))*24*60)-INT((IF(ISBLANK(IF(J3="-",,J3)),0,J3))*24*60))&gt;(6*60),INT((IF(ISBLANK(IF(I3="-",,I3)),0,I3))*24*60)&gt;0,INT((IF(ISBLANK(IF(K3="-",,K3)),0,K3))*24*60)=0),IF(_JAZYK&lt;&gt;"en","[nejdéle po 6 hodinách od 'přestávka1 do' musí být přestávka2] ","[no more than 6 hours after 'break1 to' must be break2] "),
IF(AND(IF(AZ3&lt;10,TRUE,INT(Q3*24*60)&gt;(6*60)),(INT((IF(ISBLANK(IF(H3="-",,H3)),0,H3))*24*60)-INT((IF(ISBLANK(IF(L3="-",,L3)),0,L3))*24*60))&gt;(6*60),INT((IF(ISBLANK(IF(I3="-",,I3)),0,I3))*24*60)&gt;0,INT((IF(ISBLANK(IF(K3="-",,K3)),0,K3))*24*60)&gt;0),IF(_JAZYK&lt;&gt;"en","[doba mezi 'přestávka2 do' a 'práce do' nemůže být delší než 6 hodin] ","[time between 'break2 to' and 'work to' cannot be longer than 6 hours] "),
IF(AND(IF(AZ3&lt;10,TRUE,INT(Q3*24*60)&gt;(6*60)),(INT((IF(ISBLANK(IF(I3="-",,I3)),0,I3))*24*60)-INT((IF(ISBLANK(IF(G3="-",,G3)),0,G3))*24*60))&gt;(6*60)),IF(_JAZYK&lt;&gt;"en","[přestávka1 musí být nejdéle po 6 hodinách od 'práce od'] ","[break1 must be no later than 6 hours after 'work from'] "),
IF(AND(IF(AZ3&lt;10,TRUE,INT(Q3*24*60)&gt;(6*60)),(INT((IF(ISBLANK(IF(K3="-",,K3)),0,K3))*24*60)-INT((IF(ISBLANK(IF(J3="-",,J3)),0,J3))*24*60))&gt;(6*60)),IF(_JAZYK&lt;&gt;"en","[přestávka2 musí být nejdéle po 6 hodinách od konce přestávky1] ","[break2 must be no later than 6 hours after end of break1] "),
IF((INT((IF(ISBLANK(IF(J3="-",,J3)),1,J3))*24*60)-INT((IF(ISBLANK(IF(I3="-",,I3)),0,I3))*24*60))&lt;15,IF(_JAZYK&lt;&gt;"en","[přestávka1 musí trvat alespoň 15 minut] ","[break1 must last at least 15 minutes] "),
IF((INT((IF(ISBLANK(IF(L3="-",,L3)),1,L3))*24*60)-INT((IF(ISBLANK(IF(K3="-",,K3)),0,K3))*24*60))&lt;15,IF(_JAZYK&lt;&gt;"en","[přestávka2 musí trvat alespoň 15 minut] ","[break2 must last at least 15 minutes] "),
"ok")))))))))))))))))))))))</f>
        <v/>
      </c>
      <c r="AC3" s="4" t="str">
        <f>IF(OR(ISBLANK(_ROK),ISBLANK(_MESIC)),"",IF(ISBLANK(N3),IF(_JAZYK&lt;&gt;"en","[není vyplněno pracoviště] ","[not filled in workplace] "),
IF(AND(NOT(ISBLANK(N3)),N3&lt;&gt;C10),IF(_JAZYK&lt;&gt;"en","[údaj v parametru '"&amp;M3&amp;"' je jiný než je údaj uvedený ve formuláři] ","[the value in '"&amp;M3&amp;"' is different from the form] "),"ok")))</f>
        <v/>
      </c>
      <c r="AZ3" s="1">
        <f t="shared" ref="AZ3:AZ66" si="2">+AZ2+1</f>
        <v>3</v>
      </c>
    </row>
    <row r="4" spans="1:52" x14ac:dyDescent="0.3">
      <c r="A4" s="165"/>
      <c r="B4" s="61"/>
      <c r="C4" s="163" t="str">
        <f>IF(OR(ISBLANK(_ROK),ISBLANK(_MESIC)),"",
(COUNTIF(_TAB_DEN_DDD,IF(_JAZYK&lt;&gt;"en","*po*","*Mo*"))+
COUNTIF(_TAB_DEN_DDD,IF(_JAZYK&lt;&gt;"en","*út*","*Tu*"))+
COUNTIF(_TAB_DEN_DDD,IF(_JAZYK&lt;&gt;"en","*st*","*We*"))+
COUNTIF(_TAB_DEN_DDD,IF(_JAZYK&lt;&gt;"en","*čt*","*Th*"))+
COUNTIF(_TAB_DEN_DDD,IF(_JAZYK&lt;&gt;"en","*pá*","*Fr*")))
*8)</f>
        <v/>
      </c>
      <c r="D4" s="163"/>
      <c r="E4" s="62"/>
      <c r="F4" s="39" t="str">
        <f>IF(_JAZYK&lt;&gt;"en","st","We")</f>
        <v>st</v>
      </c>
      <c r="G4" s="50"/>
      <c r="H4" s="50"/>
      <c r="I4" s="50"/>
      <c r="J4" s="50"/>
      <c r="K4" s="50"/>
      <c r="L4" s="50"/>
      <c r="M4" s="65" t="s">
        <v>1</v>
      </c>
      <c r="N4" s="170"/>
      <c r="O4" s="171"/>
      <c r="P4" s="169" t="str">
        <f>IF(_JAZYK&lt;&gt;"en","Akademik","Academician")</f>
        <v>Akademik</v>
      </c>
      <c r="Q4" s="169"/>
      <c r="R4" s="38"/>
      <c r="S4" s="2" t="str">
        <f t="shared" si="0"/>
        <v/>
      </c>
      <c r="W4" s="3" t="str">
        <f t="shared" si="1"/>
        <v/>
      </c>
      <c r="AB4" s="1" t="str">
        <f>IF(OR(ISBLANK(_ROK),ISBLANK(_MESIC),AND(A4="-",AZ4&gt;10)),"",
IF(AND(NOT(ISBLANK(IF(G4="-",,G4))),ISBLANK(IF(H4="-",,H4))),IF(_JAZYK&lt;&gt;"en","[není vyplněn čas 'práce do'] ","[not filled in 'work to' time] "),
IF(AND(ISBLANK(IF(G4="-",,G4)),NOT(ISBLANK(IF(G4="-",,H4)))),IF(_JAZYK&lt;&gt;"en","[není vyplněn čas 'práce od'] ","[not filled in 'work from' time] "),
IF(AND(NOT(ISBLANK(IF(I4="-",,I4))),ISBLANK(IF(J4="-",,J4))),IF(_JAZYK&lt;&gt;"en","[není vyplněn čas 'přestávka1 do'] ","[time 'break1 to' not filled in] "),
IF(AND(ISBLANK(IF(I4="-",,I4)),NOT(ISBLANK(IF(J4="-",,J4)))),IF(_JAZYK&lt;&gt;"en","[není vyplněn čas 'přestávka1 od'] ","[time 'break1 from' not filled in] "),
IF(AND(NOT(ISBLANK(IF(K4="-",,K4))),ISBLANK(IF(L4="-",,L4))),IF(_JAZYK&lt;&gt;"en","[není vyplněn čas 'přestávka2 do'] ","[time 'break2 to' not filled in] "),
IF(AND(ISBLANK(IF(K4="-",,K4)),NOT(ISBLANK(IF(L4="-",,L4)))),IF(_JAZYK&lt;&gt;"en","[není vyplněn čas 'přestávka2 od'] ","[not filled in 'break2 from' time] "),
IF(INT((IF(ISBLANK(IF(H4="-",,H4)),0,H4))*24*60)&lt;INT((IF(ISBLANK(IF(G4="-",,G4)),0,G4))*24*60),IF(_JAZYK&lt;&gt;"en","[čas 'práce od' musí začínat dříve než 'práce do'] ","[time 'work from' must start before 'work to'] "),
IF(AND(OR(NOT(ISBLANK(IF(I4="-",,I4))),NOT(ISBLANK(IF(J4="-",,J4))),NOT(ISBLANK(IF(K4="-",,K4))),NOT(ISBLANK(IF(L4="-",,L4)))),ISBLANK(IF(G4="-",,G4)),ISBLANK(IF(H4="-",,H4))),IF(_JAZYK&lt;&gt;"en","[není vyplněna 'práce od - do', ačkoliv je vyplněna přestávka] ","[not completed 'work from - to', although break is filled] "),
IF(INT((IF(ISBLANK(IF(G4="-",,G4)),0,G4))*24*60)&gt;=INT((IF(ISBLANK(IF(I4="-",,I4)),1,I4))*24*60),IF(_JAZYK&lt;&gt;"en","[čas 'práce od' musí začínat dříve než přestávka1] ","[time 'work from' must start before break1] "),
IF(INT((IF(ISBLANK(IF(H4="-",,H4)),1,H4))*24*60)&lt;=INT((IF(ISBLANK(IF(J4="-",,J4)),0,J4))*24*60),IF(_JAZYK&lt;&gt;"en","[čas 'práce do' musí končit později než přestávka1] ","[time 'work to' must end later than break1] "),
IF(INT((IF(ISBLANK(IF(G4="-",,G4)),0,G4))*24*60)&gt;=INT((IF(ISBLANK(IF(K4="-",,K4)),1,K4))*24*60),IF(_JAZYK&lt;&gt;"en","[čas 'práce od' musí začínat dříve než přestávka2] ","[time 'work from' must start before break2] "),
IF(INT((IF(ISBLANK(IF(H4="-",,H4)),1,H4))*24*60)&lt;=INT((IF(ISBLANK(IF(L4="-",,L4)),0,L4))*24*60),IF(_JAZYK&lt;&gt;"en","[čas 'práce do' musí končit později než přestávka2] ","[time 'work to' must end later than break2] "),
IF(INT((IF(ISBLANK(IF(J4="-",,J4)),0,J4))*24*60)&gt;=INT((IF(ISBLANK(IF(K4="-",,K4)),1,K4))*24*60),IF(_JAZYK&lt;&gt;"en","[přestávka1 musí začínat dříve přestávka2] ","[break1 must start before break2] "),
IF(INT((IF(ISBLANK(IF(J4="-",,J4)),0,J4))*24*60)&lt;INT((IF(ISBLANK(IF(I4="-",,I4)),0,I4))*24*60),IF(_JAZYK&lt;&gt;"en","[čas 'přestávky1 od' nemůže být později než čas 'přestávky1 do'] ","[time 'break1 from' cannot be later than time 'break1 to'] "),
IF(INT((IF(ISBLANK(IF(L4="-",,L4)),0,L4))*24*60)&lt;INT((IF(ISBLANK(IF(K4="-",,K4)),0,K4))*24*60),IF(_JAZYK&lt;&gt;"en","[čas 'přestávky2 od' nemůže být později než čas 'přestávky2 do'] ","[time 'break2 from' cannot be later than time 'break2 to'] "),
IF(AND(IF(AZ4&lt;10,TRUE,INT(Q4*24*60)&gt;(6*60)),(INT((IF(ISBLANK(IF(H4="-",,H4)),0,H4))*24*60)-INT((IF(ISBLANK(IF(G4="-",,G4)),0,G4))*24*60))&gt;(6*60),INT((IF(ISBLANK(IF(I4="-",,I4)),0,I4))*24*60)=0),IF(_JAZYK&lt;&gt;"en","[nejdéle po 6 hodinách od 'práce od' musí být přestávka1] ","[no more than 6 hours after 'work from' must be a break1] "),
IF(AND(IF(AZ4&lt;10,TRUE,INT(Q4*24*60)&gt;(6*60)),(INT((IF(ISBLANK(IF(H4="-",,H4)),0,H4))*24*60)-INT((IF(ISBLANK(IF(J4="-",,J4)),0,J4))*24*60))&gt;(6*60),INT((IF(ISBLANK(IF(I4="-",,I4)),0,I4))*24*60)&gt;0,INT((IF(ISBLANK(IF(K4="-",,K4)),0,K4))*24*60)=0),IF(_JAZYK&lt;&gt;"en","[nejdéle po 6 hodinách od 'přestávka1 do' musí být přestávka2] ","[no more than 6 hours after 'break1 to' must be break2] "),
IF(AND(IF(AZ4&lt;10,TRUE,INT(Q4*24*60)&gt;(6*60)),(INT((IF(ISBLANK(IF(H4="-",,H4)),0,H4))*24*60)-INT((IF(ISBLANK(IF(L4="-",,L4)),0,L4))*24*60))&gt;(6*60),INT((IF(ISBLANK(IF(I4="-",,I4)),0,I4))*24*60)&gt;0,INT((IF(ISBLANK(IF(K4="-",,K4)),0,K4))*24*60)&gt;0),IF(_JAZYK&lt;&gt;"en","[doba mezi 'přestávka2 do' a 'práce do' nemůže být delší než 6 hodin] ","[time between 'break2 to' and 'work to' cannot be longer than 6 hours] "),
IF(AND(IF(AZ4&lt;10,TRUE,INT(Q4*24*60)&gt;(6*60)),(INT((IF(ISBLANK(IF(I4="-",,I4)),0,I4))*24*60)-INT((IF(ISBLANK(IF(G4="-",,G4)),0,G4))*24*60))&gt;(6*60)),IF(_JAZYK&lt;&gt;"en","[přestávka1 musí být nejdéle po 6 hodinách od 'práce od'] ","[break1 must be no later than 6 hours after 'work from'] "),
IF(AND(IF(AZ4&lt;10,TRUE,INT(Q4*24*60)&gt;(6*60)),(INT((IF(ISBLANK(IF(K4="-",,K4)),0,K4))*24*60)-INT((IF(ISBLANK(IF(J4="-",,J4)),0,J4))*24*60))&gt;(6*60)),IF(_JAZYK&lt;&gt;"en","[přestávka2 musí být nejdéle po 6 hodinách od konce přestávky1] ","[break2 must be no later than 6 hours after end of break1] "),
IF((INT((IF(ISBLANK(IF(J4="-",,J4)),1,J4))*24*60)-INT((IF(ISBLANK(IF(I4="-",,I4)),0,I4))*24*60))&lt;15,IF(_JAZYK&lt;&gt;"en","[přestávka1 musí trvat alespoň 15 minut] ","[break1 must last at least 15 minutes] "),
IF((INT((IF(ISBLANK(IF(L4="-",,L4)),1,L4))*24*60)-INT((IF(ISBLANK(IF(K4="-",,K4)),0,K4))*24*60))&lt;15,IF(_JAZYK&lt;&gt;"en","[přestávka2 musí trvat alespoň 15 minut] ","[break2 must last at least 15 minutes] "),
"ok")))))))))))))))))))))))</f>
        <v/>
      </c>
      <c r="AC4" s="1" t="str">
        <f>IF(OR(ISBLANK(_ROK),ISBLANK(_MESIC)),"",IF(ISBLANK(N4),IF(_JAZYK&lt;&gt;"en","[není vyplněno OSČPV] ","[OSČPV not completed] "),
IF(AND(NOT(ISBLANK(N4)),N4&lt;&gt;Q8),IF(_JAZYK&lt;&gt;"en","[údaj v parametru 'OSČPV' je jiný než je údaj uvedený ve formuláři] ","[the entry in the 'OSČPV' parameter is different from the entry in the form] "),"ok")))</f>
        <v/>
      </c>
      <c r="AD4" s="1" t="str">
        <f>IF(OR(ISBLANK(_ROK),ISBLANK(_MESIC)),"",IF(NOT(EXACT(P4,IF(_JAZYK&lt;&gt;"en","Akademik","Academician"))),"[titulek pole není nastaven na hodnotu '"&amp;IF(_JAZYK&lt;&gt;"en","Akademik","Academician")&amp;"'] ",IF(ISBLANK(R4),"[není vyplněn příznak akademika] ",IF(AND(NOT(ISBLANK(R4)),R4&lt;&gt;_AKADEMIK),"[údaj v parametru 'Akademik' je jiný než je údaj uvedený ve formuláři] ","ok"))))</f>
        <v/>
      </c>
      <c r="AZ4" s="1">
        <f t="shared" si="2"/>
        <v>4</v>
      </c>
    </row>
    <row r="5" spans="1:52" x14ac:dyDescent="0.3">
      <c r="A5" s="165"/>
      <c r="B5" s="94"/>
      <c r="C5" s="95"/>
      <c r="D5" s="95"/>
      <c r="E5" s="96"/>
      <c r="F5" s="39" t="str">
        <f>IF(_JAZYK&lt;&gt;"en","čt","Th")</f>
        <v>čt</v>
      </c>
      <c r="G5" s="50"/>
      <c r="H5" s="50"/>
      <c r="I5" s="50"/>
      <c r="J5" s="50"/>
      <c r="K5" s="50"/>
      <c r="L5" s="50"/>
      <c r="M5" s="65" t="str">
        <f>IF(_JAZYK&lt;&gt;"en","Druh prac. vztahu","Type of work relationship")</f>
        <v>Druh prac. vztahu</v>
      </c>
      <c r="N5" s="83"/>
      <c r="O5" s="84"/>
      <c r="P5" s="84"/>
      <c r="Q5" s="84"/>
      <c r="R5" s="85"/>
      <c r="S5" s="2" t="str">
        <f t="shared" si="0"/>
        <v/>
      </c>
      <c r="W5" s="3" t="str">
        <f t="shared" si="1"/>
        <v/>
      </c>
      <c r="AB5" s="1" t="str">
        <f>IF(OR(ISBLANK(_ROK),ISBLANK(_MESIC),AND(A5="-",AZ5&gt;10)),"",
IF(AND(NOT(ISBLANK(IF(G5="-",,G5))),ISBLANK(IF(H5="-",,H5))),IF(_JAZYK&lt;&gt;"en","[není vyplněn čas 'práce do'] ","[not filled in 'work to' time] "),
IF(AND(ISBLANK(IF(G5="-",,G5)),NOT(ISBLANK(IF(G5="-",,H5)))),IF(_JAZYK&lt;&gt;"en","[není vyplněn čas 'práce od'] ","[not filled in 'work from' time] "),
IF(AND(NOT(ISBLANK(IF(I5="-",,I5))),ISBLANK(IF(J5="-",,J5))),IF(_JAZYK&lt;&gt;"en","[není vyplněn čas 'přestávka1 do'] ","[time 'break1 to' not filled in] "),
IF(AND(ISBLANK(IF(I5="-",,I5)),NOT(ISBLANK(IF(J5="-",,J5)))),IF(_JAZYK&lt;&gt;"en","[není vyplněn čas 'přestávka1 od'] ","[time 'break1 from' not filled in] "),
IF(AND(NOT(ISBLANK(IF(K5="-",,K5))),ISBLANK(IF(L5="-",,L5))),IF(_JAZYK&lt;&gt;"en","[není vyplněn čas 'přestávka2 do'] ","[time 'break2 to' not filled in] "),
IF(AND(ISBLANK(IF(K5="-",,K5)),NOT(ISBLANK(IF(L5="-",,L5)))),IF(_JAZYK&lt;&gt;"en","[není vyplněn čas 'přestávka2 od'] ","[not filled in 'break2 from' time] "),
IF(INT((IF(ISBLANK(IF(H5="-",,H5)),0,H5))*24*60)&lt;INT((IF(ISBLANK(IF(G5="-",,G5)),0,G5))*24*60),IF(_JAZYK&lt;&gt;"en","[čas 'práce od' musí začínat dříve než 'práce do'] ","[time 'work from' must start before 'work to'] "),
IF(AND(OR(NOT(ISBLANK(IF(I5="-",,I5))),NOT(ISBLANK(IF(J5="-",,J5))),NOT(ISBLANK(IF(K5="-",,K5))),NOT(ISBLANK(IF(L5="-",,L5)))),ISBLANK(IF(G5="-",,G5)),ISBLANK(IF(H5="-",,H5))),IF(_JAZYK&lt;&gt;"en","[není vyplněna 'práce od - do', ačkoliv je vyplněna přestávka] ","[not completed 'work from - to', although break is filled] "),
IF(INT((IF(ISBLANK(IF(G5="-",,G5)),0,G5))*24*60)&gt;=INT((IF(ISBLANK(IF(I5="-",,I5)),1,I5))*24*60),IF(_JAZYK&lt;&gt;"en","[čas 'práce od' musí začínat dříve než přestávka1] ","[time 'work from' must start before break1] "),
IF(INT((IF(ISBLANK(IF(H5="-",,H5)),1,H5))*24*60)&lt;=INT((IF(ISBLANK(IF(J5="-",,J5)),0,J5))*24*60),IF(_JAZYK&lt;&gt;"en","[čas 'práce do' musí končit později než přestávka1] ","[time 'work to' must end later than break1] "),
IF(INT((IF(ISBLANK(IF(G5="-",,G5)),0,G5))*24*60)&gt;=INT((IF(ISBLANK(IF(K5="-",,K5)),1,K5))*24*60),IF(_JAZYK&lt;&gt;"en","[čas 'práce od' musí začínat dříve než přestávka2] ","[time 'work from' must start before break2] "),
IF(INT((IF(ISBLANK(IF(H5="-",,H5)),1,H5))*24*60)&lt;=INT((IF(ISBLANK(IF(L5="-",,L5)),0,L5))*24*60),IF(_JAZYK&lt;&gt;"en","[čas 'práce do' musí končit později než přestávka2] ","[time 'work to' must end later than break2] "),
IF(INT((IF(ISBLANK(IF(J5="-",,J5)),0,J5))*24*60)&gt;=INT((IF(ISBLANK(IF(K5="-",,K5)),1,K5))*24*60),IF(_JAZYK&lt;&gt;"en","[přestávka1 musí začínat dříve přestávka2] ","[break1 must start before break2] "),
IF(INT((IF(ISBLANK(IF(J5="-",,J5)),0,J5))*24*60)&lt;INT((IF(ISBLANK(IF(I5="-",,I5)),0,I5))*24*60),IF(_JAZYK&lt;&gt;"en","[čas 'přestávky1 od' nemůže být později než čas 'přestávky1 do'] ","[time 'break1 from' cannot be later than time 'break1 to'] "),
IF(INT((IF(ISBLANK(IF(L5="-",,L5)),0,L5))*24*60)&lt;INT((IF(ISBLANK(IF(K5="-",,K5)),0,K5))*24*60),IF(_JAZYK&lt;&gt;"en","[čas 'přestávky2 od' nemůže být později než čas 'přestávky2 do'] ","[time 'break2 from' cannot be later than time 'break2 to'] "),
IF(AND(IF(AZ5&lt;10,TRUE,INT(Q5*24*60)&gt;(6*60)),(INT((IF(ISBLANK(IF(H5="-",,H5)),0,H5))*24*60)-INT((IF(ISBLANK(IF(G5="-",,G5)),0,G5))*24*60))&gt;(6*60),INT((IF(ISBLANK(IF(I5="-",,I5)),0,I5))*24*60)=0),IF(_JAZYK&lt;&gt;"en","[nejdéle po 6 hodinách od 'práce od' musí být přestávka1] ","[no more than 6 hours after 'work from' must be a break1] "),
IF(AND(IF(AZ5&lt;10,TRUE,INT(Q5*24*60)&gt;(6*60)),(INT((IF(ISBLANK(IF(H5="-",,H5)),0,H5))*24*60)-INT((IF(ISBLANK(IF(J5="-",,J5)),0,J5))*24*60))&gt;(6*60),INT((IF(ISBLANK(IF(I5="-",,I5)),0,I5))*24*60)&gt;0,INT((IF(ISBLANK(IF(K5="-",,K5)),0,K5))*24*60)=0),IF(_JAZYK&lt;&gt;"en","[nejdéle po 6 hodinách od 'přestávka1 do' musí být přestávka2] ","[no more than 6 hours after 'break1 to' must be break2] "),
IF(AND(IF(AZ5&lt;10,TRUE,INT(Q5*24*60)&gt;(6*60)),(INT((IF(ISBLANK(IF(H5="-",,H5)),0,H5))*24*60)-INT((IF(ISBLANK(IF(L5="-",,L5)),0,L5))*24*60))&gt;(6*60),INT((IF(ISBLANK(IF(I5="-",,I5)),0,I5))*24*60)&gt;0,INT((IF(ISBLANK(IF(K5="-",,K5)),0,K5))*24*60)&gt;0),IF(_JAZYK&lt;&gt;"en","[doba mezi 'přestávka2 do' a 'práce do' nemůže být delší než 6 hodin] ","[time between 'break2 to' and 'work to' cannot be longer than 6 hours] "),
IF(AND(IF(AZ5&lt;10,TRUE,INT(Q5*24*60)&gt;(6*60)),(INT((IF(ISBLANK(IF(I5="-",,I5)),0,I5))*24*60)-INT((IF(ISBLANK(IF(G5="-",,G5)),0,G5))*24*60))&gt;(6*60)),IF(_JAZYK&lt;&gt;"en","[přestávka1 musí být nejdéle po 6 hodinách od 'práce od'] ","[break1 must be no later than 6 hours after 'work from'] "),
IF(AND(IF(AZ5&lt;10,TRUE,INT(Q5*24*60)&gt;(6*60)),(INT((IF(ISBLANK(IF(K5="-",,K5)),0,K5))*24*60)-INT((IF(ISBLANK(IF(J5="-",,J5)),0,J5))*24*60))&gt;(6*60)),IF(_JAZYK&lt;&gt;"en","[přestávka2 musí být nejdéle po 6 hodinách od konce přestávky1] ","[break2 must be no later than 6 hours after end of break1] "),
IF((INT((IF(ISBLANK(IF(J5="-",,J5)),1,J5))*24*60)-INT((IF(ISBLANK(IF(I5="-",,I5)),0,I5))*24*60))&lt;15,IF(_JAZYK&lt;&gt;"en","[přestávka1 musí trvat alespoň 15 minut] ","[break1 must last at least 15 minutes] "),
IF((INT((IF(ISBLANK(IF(L5="-",,L5)),1,L5))*24*60)-INT((IF(ISBLANK(IF(K5="-",,K5)),0,K5))*24*60))&lt;15,IF(_JAZYK&lt;&gt;"en","[přestávka2 musí trvat alespoň 15 minut] ","[break2 must last at least 15 minutes] "),
"ok")))))))))))))))))))))))</f>
        <v/>
      </c>
      <c r="AC5" s="1" t="str">
        <f>IF(OR(ISBLANK(_ROK),ISBLANK(_MESIC)),"",IF(ISBLANK(N5),IF(_JAZYK&lt;&gt;"en","[není vyplněn druh pracovněprávního vztahu] ","[type of employment relationship not filled in] "),
IF(AND(NOT(ISBLANK(N5)),N5&lt;&gt;Q10),IF(_JAZYK&lt;&gt;"en","[údaj v parametru '"&amp;M5&amp;"' je jiný než je údaj uvedený ve formuláři] ","[the value in '"&amp;M5&amp;"' is different from the form] "),"ok")))</f>
        <v/>
      </c>
      <c r="AZ5" s="1">
        <f t="shared" si="2"/>
        <v>5</v>
      </c>
    </row>
    <row r="6" spans="1:52" ht="14.4" customHeight="1" thickBot="1" x14ac:dyDescent="0.35">
      <c r="A6" s="166"/>
      <c r="B6" s="147" t="str">
        <f>IF(_JAZYK&lt;&gt;"en","Stažení formuláře z webu","Download the form from the web")</f>
        <v>Stažení formuláře z webu</v>
      </c>
      <c r="C6" s="148"/>
      <c r="D6" s="148"/>
      <c r="E6" s="149"/>
      <c r="F6" s="24" t="str">
        <f>IF(_JAZYK&lt;&gt;"en","pá","Fr")</f>
        <v>pá</v>
      </c>
      <c r="G6" s="51"/>
      <c r="H6" s="51"/>
      <c r="I6" s="51"/>
      <c r="J6" s="51"/>
      <c r="K6" s="51"/>
      <c r="L6" s="51"/>
      <c r="M6" s="66" t="str">
        <f>IF(_JAZYK&lt;&gt;"en","Sjednaný úvazek (jen PP)","Agreed work load (PP only)")</f>
        <v>Sjednaný úvazek (jen PP)</v>
      </c>
      <c r="N6" s="97"/>
      <c r="O6" s="98"/>
      <c r="P6" s="98"/>
      <c r="Q6" s="98"/>
      <c r="R6" s="99"/>
      <c r="S6" s="2" t="str">
        <f t="shared" si="0"/>
        <v/>
      </c>
      <c r="W6" s="3" t="str">
        <f t="shared" si="1"/>
        <v/>
      </c>
      <c r="AB6" s="1" t="str">
        <f>IF(OR(ISBLANK(_ROK),ISBLANK(_MESIC),AND(A6="-",AZ6&gt;10)),"",
IF(AND(NOT(ISBLANK(IF(G6="-",,G6))),ISBLANK(IF(H6="-",,H6))),IF(_JAZYK&lt;&gt;"en","[není vyplněn čas 'práce do'] ","[not filled in 'work to' time] "),
IF(AND(ISBLANK(IF(G6="-",,G6)),NOT(ISBLANK(IF(G6="-",,H6)))),IF(_JAZYK&lt;&gt;"en","[není vyplněn čas 'práce od'] ","[not filled in 'work from' time] "),
IF(AND(NOT(ISBLANK(IF(I6="-",,I6))),ISBLANK(IF(J6="-",,J6))),IF(_JAZYK&lt;&gt;"en","[není vyplněn čas 'přestávka1 do'] ","[time 'break1 to' not filled in] "),
IF(AND(ISBLANK(IF(I6="-",,I6)),NOT(ISBLANK(IF(J6="-",,J6)))),IF(_JAZYK&lt;&gt;"en","[není vyplněn čas 'přestávka1 od'] ","[time 'break1 from' not filled in] "),
IF(AND(NOT(ISBLANK(IF(K6="-",,K6))),ISBLANK(IF(L6="-",,L6))),IF(_JAZYK&lt;&gt;"en","[není vyplněn čas 'přestávka2 do'] ","[time 'break2 to' not filled in] "),
IF(AND(ISBLANK(IF(K6="-",,K6)),NOT(ISBLANK(IF(L6="-",,L6)))),IF(_JAZYK&lt;&gt;"en","[není vyplněn čas 'přestávka2 od'] ","[not filled in 'break2 from' time] "),
IF(INT((IF(ISBLANK(IF(H6="-",,H6)),0,H6))*24*60)&lt;INT((IF(ISBLANK(IF(G6="-",,G6)),0,G6))*24*60),IF(_JAZYK&lt;&gt;"en","[čas 'práce od' musí začínat dříve než 'práce do'] ","[time 'work from' must start before 'work to'] "),
IF(AND(OR(NOT(ISBLANK(IF(I6="-",,I6))),NOT(ISBLANK(IF(J6="-",,J6))),NOT(ISBLANK(IF(K6="-",,K6))),NOT(ISBLANK(IF(L6="-",,L6)))),ISBLANK(IF(G6="-",,G6)),ISBLANK(IF(H6="-",,H6))),IF(_JAZYK&lt;&gt;"en","[není vyplněna 'práce od - do', ačkoliv je vyplněna přestávka] ","[not completed 'work from - to', although break is filled] "),
IF(INT((IF(ISBLANK(IF(G6="-",,G6)),0,G6))*24*60)&gt;=INT((IF(ISBLANK(IF(I6="-",,I6)),1,I6))*24*60),IF(_JAZYK&lt;&gt;"en","[čas 'práce od' musí začínat dříve než přestávka1] ","[time 'work from' must start before break1] "),
IF(INT((IF(ISBLANK(IF(H6="-",,H6)),1,H6))*24*60)&lt;=INT((IF(ISBLANK(IF(J6="-",,J6)),0,J6))*24*60),IF(_JAZYK&lt;&gt;"en","[čas 'práce do' musí končit později než přestávka1] ","[time 'work to' must end later than break1] "),
IF(INT((IF(ISBLANK(IF(G6="-",,G6)),0,G6))*24*60)&gt;=INT((IF(ISBLANK(IF(K6="-",,K6)),1,K6))*24*60),IF(_JAZYK&lt;&gt;"en","[čas 'práce od' musí začínat dříve než přestávka2] ","[time 'work from' must start before break2] "),
IF(INT((IF(ISBLANK(IF(H6="-",,H6)),1,H6))*24*60)&lt;=INT((IF(ISBLANK(IF(L6="-",,L6)),0,L6))*24*60),IF(_JAZYK&lt;&gt;"en","[čas 'práce do' musí končit později než přestávka2] ","[time 'work to' must end later than break2] "),
IF(INT((IF(ISBLANK(IF(J6="-",,J6)),0,J6))*24*60)&gt;=INT((IF(ISBLANK(IF(K6="-",,K6)),1,K6))*24*60),IF(_JAZYK&lt;&gt;"en","[přestávka1 musí začínat dříve přestávka2] ","[break1 must start before break2] "),
IF(INT((IF(ISBLANK(IF(J6="-",,J6)),0,J6))*24*60)&lt;INT((IF(ISBLANK(IF(I6="-",,I6)),0,I6))*24*60),IF(_JAZYK&lt;&gt;"en","[čas 'přestávky1 od' nemůže být později než čas 'přestávky1 do'] ","[time 'break1 from' cannot be later than time 'break1 to'] "),
IF(INT((IF(ISBLANK(IF(L6="-",,L6)),0,L6))*24*60)&lt;INT((IF(ISBLANK(IF(K6="-",,K6)),0,K6))*24*60),IF(_JAZYK&lt;&gt;"en","[čas 'přestávky2 od' nemůže být později než čas 'přestávky2 do'] ","[time 'break2 from' cannot be later than time 'break2 to'] "),
IF(AND(IF(AZ6&lt;10,TRUE,INT(Q6*24*60)&gt;(6*60)),(INT((IF(ISBLANK(IF(H6="-",,H6)),0,H6))*24*60)-INT((IF(ISBLANK(IF(G6="-",,G6)),0,G6))*24*60))&gt;(6*60),INT((IF(ISBLANK(IF(I6="-",,I6)),0,I6))*24*60)=0),IF(_JAZYK&lt;&gt;"en","[nejdéle po 6 hodinách od 'práce od' musí být přestávka1] ","[no more than 6 hours after 'work from' must be a break1] "),
IF(AND(IF(AZ6&lt;10,TRUE,INT(Q6*24*60)&gt;(6*60)),(INT((IF(ISBLANK(IF(H6="-",,H6)),0,H6))*24*60)-INT((IF(ISBLANK(IF(J6="-",,J6)),0,J6))*24*60))&gt;(6*60),INT((IF(ISBLANK(IF(I6="-",,I6)),0,I6))*24*60)&gt;0,INT((IF(ISBLANK(IF(K6="-",,K6)),0,K6))*24*60)=0),IF(_JAZYK&lt;&gt;"en","[nejdéle po 6 hodinách od 'přestávka1 do' musí být přestávka2] ","[no more than 6 hours after 'break1 to' must be break2] "),
IF(AND(IF(AZ6&lt;10,TRUE,INT(Q6*24*60)&gt;(6*60)),(INT((IF(ISBLANK(IF(H6="-",,H6)),0,H6))*24*60)-INT((IF(ISBLANK(IF(L6="-",,L6)),0,L6))*24*60))&gt;(6*60),INT((IF(ISBLANK(IF(I6="-",,I6)),0,I6))*24*60)&gt;0,INT((IF(ISBLANK(IF(K6="-",,K6)),0,K6))*24*60)&gt;0),IF(_JAZYK&lt;&gt;"en","[doba mezi 'přestávka2 do' a 'práce do' nemůže být delší než 6 hodin] ","[time between 'break2 to' and 'work to' cannot be longer than 6 hours] "),
IF(AND(IF(AZ6&lt;10,TRUE,INT(Q6*24*60)&gt;(6*60)),(INT((IF(ISBLANK(IF(I6="-",,I6)),0,I6))*24*60)-INT((IF(ISBLANK(IF(G6="-",,G6)),0,G6))*24*60))&gt;(6*60)),IF(_JAZYK&lt;&gt;"en","[přestávka1 musí být nejdéle po 6 hodinách od 'práce od'] ","[break1 must be no later than 6 hours after 'work from'] "),
IF(AND(IF(AZ6&lt;10,TRUE,INT(Q6*24*60)&gt;(6*60)),(INT((IF(ISBLANK(IF(K6="-",,K6)),0,K6))*24*60)-INT((IF(ISBLANK(IF(J6="-",,J6)),0,J6))*24*60))&gt;(6*60)),IF(_JAZYK&lt;&gt;"en","[přestávka2 musí být nejdéle po 6 hodinách od konce přestávky1] ","[break2 must be no later than 6 hours after end of break1] "),
IF((INT((IF(ISBLANK(IF(J6="-",,J6)),1,J6))*24*60)-INT((IF(ISBLANK(IF(I6="-",,I6)),0,I6))*24*60))&lt;15,IF(_JAZYK&lt;&gt;"en","[přestávka1 musí trvat alespoň 15 minut] ","[break1 must last at least 15 minutes] "),
IF((INT((IF(ISBLANK(IF(L6="-",,L6)),1,L6))*24*60)-INT((IF(ISBLANK(IF(K6="-",,K6)),0,K6))*24*60))&lt;15,IF(_JAZYK&lt;&gt;"en","[přestávka2 musí trvat alespoň 15 minut] ","[break2 must last at least 15 minutes] "),
"ok")))))))))))))))))))))))</f>
        <v/>
      </c>
      <c r="AC6" s="1" t="str">
        <f>+IF(AND(OR(N5="DPP",N5="DPČ"),NOT(ISBLANK(N6)),N6&gt;0),IF(_JAZYK&lt;&gt;"en","[pro DPČ/DPP se úvazek nevyplňuje] ","[for DPČ / DPP no full time] "),
IF(OR(N5="DPP",N5="DPČ",ISBLANK(_ROK),ISBLANK(_MESIC)),"",IF(ISBLANK(N6),IF(_JAZYK&lt;&gt;"en","[není vyplněn týdenní úvazek] ","[weekly workload not filled in] "),
IF(AND(NOT(ISBLANK(N6)),N6&lt;&gt;_UVAZEK_HOD_TYD),IF(_JAZYK&lt;&gt;"en","[údaj v parametru '"&amp;M6&amp;"' je jiný než je údaj uvedený ve formuláři] ","[the value in '"&amp;M6&amp;"' is different from the form] "),"ok"))))</f>
        <v/>
      </c>
      <c r="AZ6" s="1">
        <f t="shared" si="2"/>
        <v>6</v>
      </c>
    </row>
    <row r="7" spans="1:52" ht="43.95" customHeight="1" x14ac:dyDescent="0.3">
      <c r="A7" s="153" t="str">
        <f>IF(_JAZYK&lt;&gt;"en","EVIDENCE ODPRACOVANÉ DOBY","RECORD OF WORKED TIMES")</f>
        <v>EVIDENCE ODPRACOVANÉ DOBY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86" t="str">
        <f>+IF(_JAZYK&lt;&gt;"en","Rozvržení a evidence pracovní doby"&amp;CHAR(10)&amp;"na VŠE v Praze (SR 5/19)","Allocation and registration of working time at the University of Economics"&amp;CHAR(10)&amp;"in Prague (SR 5/19)")</f>
        <v>Rozvržení a evidence pracovní doby
na VŠE v Praze (SR 5/19)</v>
      </c>
      <c r="O7" s="86"/>
      <c r="P7" s="86"/>
      <c r="Q7" s="86"/>
      <c r="R7" s="86"/>
      <c r="S7" s="2" t="str">
        <f t="shared" ref="S7" si="3">+IF(LEFT(W7,1)="[","❢","")</f>
        <v/>
      </c>
      <c r="W7" s="3" t="str">
        <f t="shared" si="1"/>
        <v/>
      </c>
      <c r="AZ7" s="1">
        <f t="shared" si="2"/>
        <v>7</v>
      </c>
    </row>
    <row r="8" spans="1:52" ht="14.4" customHeight="1" x14ac:dyDescent="0.3">
      <c r="A8" s="155" t="str">
        <f>IF(_JAZYK&lt;&gt;"en","Zaměstnanec","Employee")</f>
        <v>Zaměstnanec</v>
      </c>
      <c r="B8" s="155"/>
      <c r="C8" s="150" t="str">
        <f>IF(ISBLANK(N2),"",N2)</f>
        <v/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87" t="s">
        <v>1</v>
      </c>
      <c r="O8" s="87"/>
      <c r="P8" s="87"/>
      <c r="Q8" s="136" t="str">
        <f>IF(ISBLANK(N4),"",N4)</f>
        <v/>
      </c>
      <c r="R8" s="136"/>
      <c r="S8" s="2" t="str">
        <f>+IF(LEFT(W8,1)="[","❢","")</f>
        <v/>
      </c>
      <c r="W8" s="3" t="str">
        <f t="shared" si="1"/>
        <v/>
      </c>
      <c r="AA8" s="106" t="str">
        <f>IF(OR(ISBLANK(_ROK),ISBLANK(_MESIC)),"",IF(OR(AND(C8=N2,ISBLANK(N2)),ISBLANK(C8)),IF(_JAZYK&lt;&gt;"en","[není vyplněno jméno zaměstnance] ","[employee name not filled in] "),
IF(ISERR(SEARCH(" ",TRIM(C8))),IF(_JAZYK&lt;&gt;"en","[chybí mezera mezi jménem a příjmením zaměstnance] ","[missing space between employee's first and last name] "),
IF(LEN(C8)&lt;5,IF(_JAZYK&lt;&gt;"en","[jméno zaměstnance je příliš krátké] ","[employee name too short] "),"ok"))))</f>
        <v/>
      </c>
      <c r="AB8" s="1" t="str">
        <f>IF(OR(ISBLANK(_ROK),ISBLANK(_MESIC)),"",IF(OR(AND(Q8=N4,ISBLANK(N4)),ISBLANK(Q8)),IF(_JAZYK&lt;&gt;"en","[není vyplněno OSČPV] ","[OSČPV not completed] "),"ok"))</f>
        <v/>
      </c>
      <c r="AZ8" s="1">
        <f t="shared" si="2"/>
        <v>8</v>
      </c>
    </row>
    <row r="9" spans="1:52" ht="14.4" customHeight="1" x14ac:dyDescent="0.3">
      <c r="A9" s="155"/>
      <c r="B9" s="155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03" t="str">
        <f>IF(_JAZYK&lt;&gt;"en","Pozice akademika","Academician's position")</f>
        <v>Pozice akademika</v>
      </c>
      <c r="O9" s="103"/>
      <c r="P9" s="103"/>
      <c r="Q9" s="151" t="str">
        <f>IF(ISBLANK(R4),"",R4)</f>
        <v/>
      </c>
      <c r="R9" s="151"/>
      <c r="S9" s="2" t="str">
        <f t="shared" ref="S9:S12" si="4">+IF(LEFT(W9,1)="[","❢","")</f>
        <v/>
      </c>
      <c r="W9" s="3" t="str">
        <f t="shared" si="1"/>
        <v/>
      </c>
      <c r="AA9" s="106"/>
      <c r="AB9" s="1" t="str">
        <f>IF(OR(ISBLANK(_ROK),ISBLANK(_MESIC)),"",IF(OR(AND(Q9=R4,ISBLANK(R4)),ISBLANK(Q9)),"[není vyplněn druh pracovněprávního vztahu] ","ok"))</f>
        <v/>
      </c>
      <c r="AZ9" s="1">
        <f t="shared" si="2"/>
        <v>9</v>
      </c>
    </row>
    <row r="10" spans="1:52" ht="15.6" x14ac:dyDescent="0.3">
      <c r="A10" s="124" t="str">
        <f>IF(_JAZYK&lt;&gt;"en","Pracoviště","Workplace")</f>
        <v>Pracoviště</v>
      </c>
      <c r="B10" s="124"/>
      <c r="C10" s="146" t="str">
        <f>IF(ISBLANK(N3),"",N3)</f>
        <v/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87" t="str">
        <f>IF(_JAZYK&lt;&gt;"en","Druh prac. vztahu","Type of work relationship")</f>
        <v>Druh prac. vztahu</v>
      </c>
      <c r="O10" s="87"/>
      <c r="P10" s="87"/>
      <c r="Q10" s="136" t="str">
        <f>IF(ISBLANK(N5),"",N5)</f>
        <v/>
      </c>
      <c r="R10" s="136"/>
      <c r="S10" s="2" t="str">
        <f t="shared" si="4"/>
        <v/>
      </c>
      <c r="W10" s="3" t="str">
        <f t="shared" si="1"/>
        <v/>
      </c>
      <c r="AA10" s="1" t="str">
        <f>IF(OR(ISBLANK(_ROK),ISBLANK(_MESIC)),"",IF(OR(AND(C10=N3,ISBLANK(N3)),ISBLANK(C10)),IF(_JAZYK&lt;&gt;"en","[není vyplněno pracoviště] ","[not filled in workplace] "),"ok"))</f>
        <v/>
      </c>
      <c r="AB10" s="1" t="str">
        <f>IF(OR(ISBLANK(_ROK),ISBLANK(_MESIC)),"",IF(OR(AND(Q10=N5,ISBLANK(N5)),ISBLANK(Q10)),"[není vyplněn druh pracovněprávního vztahu] ","ok"))</f>
        <v/>
      </c>
      <c r="AZ10" s="1">
        <f t="shared" si="2"/>
        <v>10</v>
      </c>
    </row>
    <row r="11" spans="1:52" x14ac:dyDescent="0.3">
      <c r="A11" s="124" t="str">
        <f>+IF(OR(_DRUH_PV="DPP",_DRUH_PV="DPČ"),"",IF(_JAZYK&lt;&gt;"en","Sjednaný týdenní úvazek v hodinách","Negotiated weekly work in hours"))</f>
        <v>Sjednaný týdenní úvazek v hodinách</v>
      </c>
      <c r="B11" s="124"/>
      <c r="C11" s="124"/>
      <c r="D11" s="124"/>
      <c r="E11" s="124"/>
      <c r="F11" s="124"/>
      <c r="G11" s="25">
        <f>IF(AND(OR(_DRUH_PV="DPP",_DRUH_PV="DPČ"),ISBLANK(N6)),"",IF(ISBLANK(N6),,N6))</f>
        <v>0</v>
      </c>
      <c r="H11" s="87" t="str">
        <f>+IF(OR(_DRUH_PV="DPP",_DRUH_PV="DPČ"),"",IF(_JAZYK&lt;&gt;"en","Koeficient úvazku","Harness coefficient"))</f>
        <v>Koeficient úvazku</v>
      </c>
      <c r="I11" s="87"/>
      <c r="J11" s="87"/>
      <c r="K11" s="140">
        <f>IF(AND(OR(_DRUH_PV="DPP",_DRUH_PV="DPČ"),OR(ISBLANK(_UVAZEK_HOD_TYD),_UVAZEK_HOD_TYD="")),"",ROUND(_UVAZEK_HOD_TYD/40,14))</f>
        <v>0</v>
      </c>
      <c r="L11" s="140"/>
      <c r="M11" s="87" t="str">
        <f>+IF(OR(_DRUH_PV="DPP",_DRUH_PV="DPČ"),"",IF(_JAZYK&lt;&gt;"en","Měsíční FPD dle úvazku bez svátků","Monthly FPD by time without holidays"))</f>
        <v>Měsíční FPD dle úvazku bez svátků</v>
      </c>
      <c r="N11" s="87"/>
      <c r="O11" s="87"/>
      <c r="P11" s="87"/>
      <c r="Q11" s="26"/>
      <c r="R11" s="52">
        <f>IF(AND(OR(_DRUH_PV="DPP",_DRUH_PV="DPČ"),OR(ISBLANK(_UVAZEK_HOD_TYD),_UVAZEK_HOD_TYD="")),"",IF(OR(ISBLANK(_ROK),ISBLANK(_MESIC)),0,_FPD_BEZ_SV/24*_UVAZEK_KOEF))</f>
        <v>0</v>
      </c>
      <c r="S11" s="2" t="str">
        <f t="shared" si="4"/>
        <v/>
      </c>
      <c r="W11" s="3" t="str">
        <f t="shared" si="1"/>
        <v/>
      </c>
      <c r="X11" s="6"/>
      <c r="AA11" s="9" t="str">
        <f>IF(OR(ISBLANK(_ROK),ISBLANK(_MESIC)),"",
IF(AND(_DRUH_PV="PP",
OR(AND(_UVAZEK_HOD_TYD=N6,ISBLANK(N6)))),IF(_JAZYK&lt;&gt;"en","[není vyplněn týdenní úvazek] ","[weekly workload not filled in] "),
IF(AND(OR(_DRUH_PV="DPP",_DRUH_PV="DPČ"),NOT(ISBLANK(_UVAZEK_HOD_TYD)),IF(_UVAZEK_HOD_TYD="",0,_UVAZEK_HOD_TYD&gt;0)),IF(_JAZYK&lt;&gt;"en","[pro DPČ/DPP se úvazek nevyplňuje] ","[for DPČ / DPP no full time] "),"ok")))</f>
        <v/>
      </c>
      <c r="AZ11" s="1">
        <f t="shared" si="2"/>
        <v>11</v>
      </c>
    </row>
    <row r="12" spans="1:52" ht="15" thickBot="1" x14ac:dyDescent="0.35">
      <c r="F12" s="7"/>
      <c r="G12" s="7"/>
      <c r="H12" s="7"/>
      <c r="I12" s="7"/>
      <c r="J12" s="7"/>
      <c r="K12" s="7"/>
      <c r="L12" s="7"/>
      <c r="M12" s="90" t="str">
        <f>+IF(OR(_DRUH_PV="DPP",_DRUH_PV="DPČ",_AKADEMIK="",UPPER(_AKADEMIK)="ANO",UPPER(_AKADEMIK)="YES"),"",IF(_JAZYK&lt;&gt;"en","Rozdíl hodin z minulého měsíce (±hh:mm)","Hour difference from last month (± hh: mm)"))</f>
        <v/>
      </c>
      <c r="N12" s="90"/>
      <c r="O12" s="90"/>
      <c r="P12" s="91"/>
      <c r="Q12" s="54"/>
      <c r="R12" s="55"/>
      <c r="S12" s="2" t="str">
        <f t="shared" si="4"/>
        <v/>
      </c>
      <c r="T12" s="8" t="b">
        <f>IF(ISERR(SEARCH(":",DAY(R12)*24+HOUR(R12)&amp;":"&amp;TEXT(MINUTE(R12),"00"))),FALSE,IF(NOT(ISNUMBER(1*LEFT(DAY(R12)*24+HOUR(R12)&amp;":"&amp;TEXT(MINUTE(R12),"00"),SEARCH(":",DAY(R12)*24+HOUR(R12)&amp;":"&amp;TEXT(MINUTE(R12),"00"))-1))),FALSE,IF(NOT(ISNUMBER(1*MID(DAY(R12)*24+HOUR(R12)&amp;":"&amp;TEXT(MINUTE(R12),"00"),SEARCH(":",DAY(R12)*24+HOUR(R12)&amp;":"&amp;TEXT(MINUTE(R12),"00"))+1,LEN(DAY(R12)*24+HOUR(R12)&amp;":"&amp;TEXT(MINUTE(R12),"00"))))),FALSE,TRUE)))</f>
        <v>1</v>
      </c>
      <c r="W12" s="3" t="str">
        <f t="shared" si="1"/>
        <v/>
      </c>
      <c r="AA12" s="9" t="str">
        <f>+IF(AND(AND(NOT(ISBLANK(_NV_MIN_MES)),_NV_MIN_MES&gt;0),OR(_DRUH_PV="DPP",_DRUH_PV="DPČ")),IF(_JAZYK&lt;&gt;"en","[pro DPP nemohou být napracovány hodiny z minulého měsíce] ","[last month's hours cannot be worked for DPP] "),
IF(AND(AND(NOT(ISBLANK(_NV_MIN_MES)),_NV_MIN_MES&gt;0),OR(UPPER(_AKADEMIK)="ANO",UPPER(_AKADEMIK)="YES")),IF(_JAZYK&lt;&gt;"en","[u akademika nemohou být napracované hodiny z minulého měsíce vyplněny - nutné vymazat] ","[last month's hours cannot be completed at the academic - must be deleted] "),
IF(AND(NOT(ISBLANK(_NV_MIN_MES_ZNAM)),VALUE(_NV_MIN_MES)=0),IF(_JAZYK&lt;&gt;"en","[znaménko '"&amp;_NV_MIN_MES_ZNAM&amp;"' nemůže být bez uvedených hodin] ","[plus/minus sign '"&amp;_NV_MIN_MES_ZNAM&amp;"' cannot be without the specified hours] "),"ok")))</f>
        <v>ok</v>
      </c>
      <c r="AZ12" s="1">
        <f t="shared" si="2"/>
        <v>12</v>
      </c>
    </row>
    <row r="13" spans="1:52" ht="15" thickBot="1" x14ac:dyDescent="0.35">
      <c r="T13" s="125" t="str">
        <f>IF(_JAZYK&lt;&gt;"en","Pomocné údaje (netiskne se)","Auxiliary data (not printing)")</f>
        <v>Pomocné údaje (netiskne se)</v>
      </c>
      <c r="U13" s="126"/>
      <c r="V13" s="126"/>
      <c r="W13" s="127"/>
      <c r="AZ13" s="1">
        <f t="shared" si="2"/>
        <v>13</v>
      </c>
    </row>
    <row r="14" spans="1:52" ht="18.600000000000001" customHeight="1" thickBot="1" x14ac:dyDescent="0.35">
      <c r="A14" s="141" t="str">
        <f>IF(OR(ISBLANK(_ROK),ISBLANK(_MESIC)),"",
IF(_MESIC=1,IF(_JAZYK&lt;&gt;"en","leden","January"),IF(_MESIC=2,IF(_JAZYK&lt;&gt;"en","únor","February"),IF(_MESIC=3,IF(_JAZYK&lt;&gt;"en","březen","March"),
IF(_MESIC=4,IF(_JAZYK&lt;&gt;"en","duben","April"),IF(_MESIC=5,IF(_JAZYK&lt;&gt;"en","květen","May"),IF(_MESIC=6,IF(_JAZYK&lt;&gt;"en","červen","June"),
IF(_MESIC=7,IF(_JAZYK&lt;&gt;"en","červenec","July"),IF(_MESIC=8,IF(_JAZYK&lt;&gt;"en","srpen","August"),IF(_MESIC=9,IF(_JAZYK&lt;&gt;"en","září","September"),
IF(_MESIC=10,IF(_JAZYK&lt;&gt;"en","říjen","October"),IF(_MESIC=11,IF(_JAZYK&lt;&gt;"en","listopad","November"),IF(_MESIC=12,IF(_JAZYK&lt;&gt;"en","prosinec","December"),
"???")))))))))))))</f>
        <v/>
      </c>
      <c r="B14" s="141"/>
      <c r="C14" s="112" t="str">
        <f>IF(_JAZYK&lt;&gt;"en","Status dne","Status of the day")</f>
        <v>Status dne</v>
      </c>
      <c r="D14" s="142"/>
      <c r="E14" s="143"/>
      <c r="F14" s="137" t="str">
        <f>IF(_JAZYK&lt;&gt;"en","Úprava","Adjmnt.")</f>
        <v>Úprava</v>
      </c>
      <c r="G14" s="123" t="str">
        <f>IF(_JAZYK&lt;&gt;"en","Výkon práce","Work performance")</f>
        <v>Výkon práce</v>
      </c>
      <c r="H14" s="123"/>
      <c r="I14" s="123" t="str">
        <f>IF(_JAZYK&lt;&gt;"en","Přestávka 1","Break 1")</f>
        <v>Přestávka 1</v>
      </c>
      <c r="J14" s="123"/>
      <c r="K14" s="123" t="str">
        <f>IF(_JAZYK&lt;&gt;"en","Přestávka 2","Break 2")</f>
        <v>Přestávka 2</v>
      </c>
      <c r="L14" s="123"/>
      <c r="M14" s="112" t="str">
        <f>IF(_JAZYK&lt;&gt;"en","Poznámka","Note")</f>
        <v>Poznámka</v>
      </c>
      <c r="N14" s="113"/>
      <c r="O14" s="88" t="str">
        <f>IF(_JAZYK&lt;&gt;"en","Korekce","Correction")</f>
        <v>Korekce</v>
      </c>
      <c r="P14" s="89"/>
      <c r="Q14" s="129" t="str">
        <f>IF(_JAZYK&lt;&gt;"en","Odprac. hodin","Hours worked")</f>
        <v>Odprac. hodin</v>
      </c>
      <c r="R14" s="130"/>
      <c r="S14" s="133" t="str">
        <f>IF(_JAZYK&lt;&gt;"en","Chyba?","Error?")</f>
        <v>Chyba?</v>
      </c>
      <c r="T14" s="128" t="str">
        <f>IF(_JAZYK&lt;&gt;"en","Skuteč. týdně","Reality weekly")</f>
        <v>Skuteč. týdně</v>
      </c>
      <c r="U14" s="128" t="str">
        <f>IF(_JAZYK&lt;&gt;"en","Plán týdně","Schedule weekly")</f>
        <v>Plán týdně</v>
      </c>
      <c r="V14" s="128" t="str">
        <f>IF(_JAZYK&lt;&gt;"en","Rozdíl","Diffe-"&amp;CHAR(10)&amp;"rence")</f>
        <v>Rozdíl</v>
      </c>
      <c r="W14" s="135" t="str">
        <f>IF(_JAZYK&lt;&gt;"en","Popis chyby","Description of an error")</f>
        <v>Popis chyby</v>
      </c>
      <c r="AZ14" s="1">
        <f t="shared" si="2"/>
        <v>14</v>
      </c>
    </row>
    <row r="15" spans="1:52" ht="18.600000000000001" customHeight="1" thickBot="1" x14ac:dyDescent="0.35">
      <c r="A15" s="139" t="str">
        <f>IF(OR(ISBLANK(_ROK),ISBLANK(_MESIC)),"",DATE(_ROK,_MESIC,1))</f>
        <v/>
      </c>
      <c r="B15" s="139"/>
      <c r="C15" s="114"/>
      <c r="D15" s="144"/>
      <c r="E15" s="145"/>
      <c r="F15" s="138"/>
      <c r="G15" s="73" t="str">
        <f>IF(_JAZYK&lt;&gt;"en","od","from")</f>
        <v>od</v>
      </c>
      <c r="H15" s="73" t="str">
        <f>IF(_JAZYK&lt;&gt;"en","do","to")</f>
        <v>do</v>
      </c>
      <c r="I15" s="73" t="str">
        <f>IF(_JAZYK&lt;&gt;"en","od","from")</f>
        <v>od</v>
      </c>
      <c r="J15" s="73" t="str">
        <f>IF(_JAZYK&lt;&gt;"en","do","to")</f>
        <v>do</v>
      </c>
      <c r="K15" s="73" t="str">
        <f>IF(_JAZYK&lt;&gt;"en","od","from")</f>
        <v>od</v>
      </c>
      <c r="L15" s="73" t="str">
        <f>IF(_JAZYK&lt;&gt;"en","do","to")</f>
        <v>do</v>
      </c>
      <c r="M15" s="114"/>
      <c r="N15" s="115"/>
      <c r="O15" s="74" t="s">
        <v>0</v>
      </c>
      <c r="P15" s="75" t="s">
        <v>2</v>
      </c>
      <c r="Q15" s="131"/>
      <c r="R15" s="132"/>
      <c r="S15" s="134"/>
      <c r="T15" s="128"/>
      <c r="U15" s="128"/>
      <c r="V15" s="128"/>
      <c r="W15" s="135"/>
      <c r="AZ15" s="1">
        <f t="shared" si="2"/>
        <v>15</v>
      </c>
    </row>
    <row r="16" spans="1:52" s="9" customFormat="1" ht="15.6" hidden="1" customHeight="1" x14ac:dyDescent="0.3">
      <c r="C16" s="71"/>
      <c r="D16" s="70" t="str">
        <f>IF(_JAZYK&lt;&gt;"en","ANO","YES")</f>
        <v>ANO</v>
      </c>
      <c r="E16" s="70" t="str">
        <f>IF(_JAZYK&lt;&gt;"en","NE","NO")</f>
        <v>NE</v>
      </c>
      <c r="F16" s="72">
        <v>1</v>
      </c>
      <c r="G16" s="72">
        <v>2</v>
      </c>
      <c r="H16" s="72">
        <v>3</v>
      </c>
      <c r="I16" s="72">
        <v>4</v>
      </c>
      <c r="J16" s="72">
        <v>5</v>
      </c>
      <c r="K16" s="72">
        <v>6</v>
      </c>
      <c r="L16" s="72">
        <v>7</v>
      </c>
      <c r="M16" s="28"/>
      <c r="N16" s="29"/>
      <c r="O16" s="30"/>
      <c r="P16" s="31"/>
      <c r="Q16" s="92"/>
      <c r="R16" s="92"/>
      <c r="S16" s="11"/>
      <c r="T16" s="10"/>
      <c r="U16" s="10"/>
      <c r="V16" s="10"/>
      <c r="W16" s="10"/>
      <c r="Y16" s="19"/>
      <c r="Z16" s="19"/>
      <c r="AZ16" s="1">
        <f t="shared" si="2"/>
        <v>16</v>
      </c>
    </row>
    <row r="17" spans="1:52" ht="15.6" hidden="1" customHeight="1" x14ac:dyDescent="0.3">
      <c r="A17" s="12"/>
      <c r="B17" s="12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3"/>
      <c r="Q17" s="93"/>
      <c r="R17" s="93"/>
      <c r="S17" s="14"/>
      <c r="T17" s="13"/>
      <c r="W17" s="3"/>
      <c r="AZ17" s="1">
        <f t="shared" si="2"/>
        <v>17</v>
      </c>
    </row>
    <row r="18" spans="1:52" ht="15.6" hidden="1" customHeight="1" x14ac:dyDescent="0.3">
      <c r="A18" s="12"/>
      <c r="B18" s="32"/>
      <c r="C18" s="12"/>
      <c r="D18" s="12"/>
      <c r="E18" s="12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13"/>
      <c r="Q18" s="93"/>
      <c r="R18" s="93"/>
      <c r="S18" s="14"/>
      <c r="T18" s="13"/>
      <c r="W18" s="3"/>
      <c r="AZ18" s="1">
        <f t="shared" si="2"/>
        <v>18</v>
      </c>
    </row>
    <row r="19" spans="1:52" ht="15.6" hidden="1" customHeight="1" x14ac:dyDescent="0.3">
      <c r="A19" s="12"/>
      <c r="B19" s="12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13"/>
      <c r="Q19" s="93"/>
      <c r="R19" s="93"/>
      <c r="S19" s="14"/>
      <c r="T19" s="13"/>
      <c r="W19" s="3"/>
      <c r="AZ19" s="1">
        <f t="shared" si="2"/>
        <v>19</v>
      </c>
    </row>
    <row r="20" spans="1:52" ht="15.6" hidden="1" customHeight="1" x14ac:dyDescent="0.3">
      <c r="A20" s="12"/>
      <c r="B20" s="12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13"/>
      <c r="Q20" s="93"/>
      <c r="R20" s="93"/>
      <c r="S20" s="14"/>
      <c r="T20" s="13"/>
      <c r="W20" s="3"/>
      <c r="AZ20" s="1">
        <f t="shared" si="2"/>
        <v>20</v>
      </c>
    </row>
    <row r="21" spans="1:52" ht="15.6" hidden="1" customHeight="1" x14ac:dyDescent="0.3">
      <c r="A21" s="12"/>
      <c r="B21" s="1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13"/>
      <c r="Q21" s="93"/>
      <c r="R21" s="93"/>
      <c r="S21" s="14"/>
      <c r="T21" s="13"/>
      <c r="W21" s="3"/>
      <c r="AZ21" s="1">
        <f t="shared" si="2"/>
        <v>21</v>
      </c>
    </row>
    <row r="22" spans="1:52" ht="15.6" hidden="1" customHeight="1" x14ac:dyDescent="0.3">
      <c r="A22" s="33"/>
      <c r="B22" s="33"/>
      <c r="C22" s="34"/>
      <c r="D22" s="34"/>
      <c r="E22" s="34"/>
      <c r="F22" s="35"/>
      <c r="G22" s="35"/>
      <c r="H22" s="35"/>
      <c r="I22" s="35"/>
      <c r="J22" s="35"/>
      <c r="K22" s="35"/>
      <c r="L22" s="35"/>
      <c r="M22" s="36"/>
      <c r="N22" s="36"/>
      <c r="O22" s="36"/>
      <c r="P22" s="37"/>
      <c r="Q22" s="172"/>
      <c r="R22" s="172"/>
      <c r="S22" s="14"/>
      <c r="T22" s="13"/>
      <c r="W22" s="3"/>
      <c r="AZ22" s="1">
        <f t="shared" si="2"/>
        <v>22</v>
      </c>
    </row>
    <row r="23" spans="1:52" x14ac:dyDescent="0.3">
      <c r="A23" s="21" t="str">
        <f>IF(OR(ISBLANK(_ROK),ISBLANK(_MESIC)),"-",DATE(_ROK,_MESIC,1))</f>
        <v>-</v>
      </c>
      <c r="B23" s="22" t="str">
        <f t="shared" ref="B23:B53" si="5">IF(A23="-","-",IF(WEEKDAY(A23,2)=1,IF(_JAZYK&lt;&gt;"en","po","Mo"),IF(WEEKDAY(A23,2)=2,IF(_JAZYK&lt;&gt;"en","út","Tu"),IF(WEEKDAY(A23,2)=3,IF(_JAZYK&lt;&gt;"en","st","We"),IF(WEEKDAY(A23,2)=4,IF(_JAZYK&lt;&gt;"en","čt","Th"),IF(WEEKDAY(A23,2)=5,IF(_JAZYK&lt;&gt;"en","pá","Fr"),IF(WEEKDAY(A23,2)=6,IF(_JAZYK&lt;&gt;"en","so","Sa"),IF(WEEKDAY(A23,2)=7,IF(_JAZYK&lt;&gt;"en","ne","Su"),""))))))))
&amp;IF(A23="-","",IF(OR(DATE(_ROK,1,1)=A23,DATE(_ROK,5,1)=A23,DATE(_ROK,5,8)=A23,DATE(_ROK,7,5)=A23,DATE(_ROK,7,6)=A23,DATE(_ROK,9,28)=A23,DATE(_ROK,10,28)=A23,DATE(_ROK,11,17)=A23,DATE(_ROK,12,24)=A23,DATE(_ROK,12,25)=A23,DATE(_ROK,12,26)=A23,((ROUND(DATE(_ROK,4,1)/7+MOD(19*MOD(_ROK,19)-7,30)*14%,0)*7-6)-2)=A23,((ROUND(DATE(_ROK,4,1)/7+MOD(19*MOD(_ROK,19)-7,30)*14%,0)*7-6)+1)=A23),"*",""))</f>
        <v>-</v>
      </c>
      <c r="C23" s="80" t="str">
        <f t="shared" ref="C23:C53" si="6">+IF(OR(ISBLANK($F23),A23="-"),IF(A23="-","-",
IF(AND(WEEKDAY($A23,2)&lt;=5,LEN($B23)=2),IF(_JAZYK&lt;&gt;"en","odpracováno","worked"),
IF(AND(WEEKDAY($A23,2)&lt;=5,LEN($B23)&gt;2),IF(_JAZYK&lt;&gt;"en","svátek","holiday"),
IF(WEEKDAY($A23,2)&gt;5,"-")))),
IF(EXACT($F23,"P"),IF(_JAZYK&lt;&gt;"en","odpracováno","worked"),
IF(EXACT($F23,"D"),IF(_JAZYK&lt;&gt;"en","dovolená - celý den","vacation - all day"),
IF(EXACT($F23,"d"),IF(_JAZYK&lt;&gt;"en","dovolená - půl dne","vacation - half day"),
IF(EXACT($F23,"N"),IF(_JAZYK&lt;&gt;"en","prac. neschopnost","work disability"),
IF(EXACT($F23,"T"),IF(_JAZYK&lt;&gt;"en","tvůrčí volno","creative time off"),
IF(EXACT($F23,"S"),IF(_JAZYK&lt;&gt;"en","svátek","holiday"),
IF(EXACT($F23,"O"),IF(_JAZYK&lt;&gt;"en","ostatní","other"),"-"))))))))</f>
        <v>-</v>
      </c>
      <c r="D23" s="81"/>
      <c r="E23" s="82"/>
      <c r="F23" s="42"/>
      <c r="G23" s="43" t="str">
        <f t="shared" ref="G23:L32" si="7">IF($A23="","",IF(OR($C23=IF(_JAZYK&lt;&gt;"en","svátek","holiday"),EXACT($F23,"D"),EXACT($F23,"N"),EXACT($F23,"T"),EXACT($F23,"O"),EXACT($F23,"-")),"-",IF(ISNA(VLOOKUP($B23,$F$2:$L$6,G$16,FALSE))=TRUE,"-",IF(ISBLANK(VLOOKUP($B23,$F$2:$L$6,G$16,FALSE)),"-",VLOOKUP($B23,$F$2:$L$6,G$16,FALSE)))))</f>
        <v>-</v>
      </c>
      <c r="H23" s="43" t="str">
        <f t="shared" si="7"/>
        <v>-</v>
      </c>
      <c r="I23" s="43" t="str">
        <f t="shared" si="7"/>
        <v>-</v>
      </c>
      <c r="J23" s="43" t="str">
        <f t="shared" si="7"/>
        <v>-</v>
      </c>
      <c r="K23" s="43" t="str">
        <f t="shared" si="7"/>
        <v>-</v>
      </c>
      <c r="L23" s="43" t="str">
        <f t="shared" si="7"/>
        <v>-</v>
      </c>
      <c r="M23" s="100"/>
      <c r="N23" s="101"/>
      <c r="O23" s="44"/>
      <c r="P23" s="45"/>
      <c r="Q23" s="78" t="str">
        <f>IF(A23="-","",
(IF(OR(ISBLANK(G23),G23="-",ISBLANK(H23),H23="-"),0,
IF(INT((H23)*24*60)&lt;INT((G23)*24*60),0,IF(ISBLANK(IF(H23="-",,H23)),0,H23)-IF(ISBLANK(IF(G23="-",,G23)),0,G23))
-IF(OR(ISBLANK(I23),I23="-",ISBLANK(J23),J23="-"),0,IF(INT((J23)*24*60)&lt;INT((I23)*24*60),0,(IF(ISBLANK(IF(J23="-",,J23)),0,J23)-IF(ISBLANK(IF(I23="-",,I23)),0,I23))))
-IF(OR(ISBLANK(K23),K23="-",ISBLANK(L23),L23="-"),0,IF(INT((L23)*24*60)&lt;INT((K23)*24*60),0,(IF(ISBLANK(IF(L23="-",,L23)),0,L23)-IF(ISBLANK(IF(K23="-",,K23)),0,K23)))))
+N("***Následuje doplnění korekce (nejprve test, že mínusová korekce je menší než nápočet odprac.hodin ***")
+IF(O23="-",IF(IF(OR(ISBLANK(G23),G23="-",ISBLANK(H23),H23="-"),0,IF(INT((H23)*24*60)&lt;INT((G23)*24*60),0,(IF(ISBLANK(IF(H23="-",,H23)),0,H23)-IF(ISBLANK(IF(G23="-",,G23)),0,G23)))
-IF(OR(ISBLANK(I23),I23="-",ISBLANK(J23),J23="-"),0,IF(INT((J23)*24*60)&lt;INT((I23)*24*60),0,IF(ISBLANK(IF(J23="-",,J23)),0,J23)-IF(ISBLANK(IF(I23="-",,I23)),0,I23)))
-IF(OR(ISBLANK(K23),K23="-",ISBLANK(L23),L23="-"),0,IF(INT((L23)*24*60)&lt;INT((K23)*24*60),0,IF(ISBLANK(IF(L23="-",,L23)),0,L23)-IF(ISBLANK(IF(K23="-",,K23)),0,K23))))
&lt;IF(ISBLANK(IF(P23="-",,P23)),0,P23),0,
-IF(ISBLANK(IF(P23="-",,P23)),0,P23)),
+IF(ISBLANK(IF(P23="-",,P23)),0,P23))
))</f>
        <v/>
      </c>
      <c r="R23" s="79"/>
      <c r="S23" s="2" t="str">
        <f t="shared" ref="S23:S50" si="8">+IF(LEFT(W23,1)="[","❢","")</f>
        <v/>
      </c>
      <c r="T23" s="47" t="str">
        <f t="shared" ref="T23:T53" si="9">IF($A23="-","",IF(AND(WEEKDAY($A23,2)&lt;&gt;7,DAY($A23)&lt;&gt;DAY(IF(OR(ISBLANK(_ROK),ISBLANK(_MESIC)),"",EOMONTH(DATE(_ROK,_MESIC,1),0)))),"",
N("***Nápočet počtu hodin za jednotlivé dny***")
+Q23
+IF(AND(DAY($A22)&gt;0,WEEKDAY($A22,2)=WEEKDAY($A23,2)-1),Q22,0)
+IF(AND(DAY($A21)&gt;0,WEEKDAY($A21,2)=WEEKDAY($A23,2)-2),Q21,0)
+IF(AND(DAY($A20)&gt;0,WEEKDAY($A20,2)=WEEKDAY($A23,2)-3),Q20,0)
+IF(AND(DAY($A19)&gt;0,WEEKDAY($A19,2)=WEEKDAY($A23,2)-4),Q19,0)
+IF(AND(DAY($A18)&gt;0,WEEKDAY($A18,2)=WEEKDAY($A23,2)-5),Q18,0)
+IF(AND(DAY($A17)&gt;0,WEEKDAY($A17,2)=WEEKDAY($A23,2)-6),Q17,0)
))</f>
        <v/>
      </c>
      <c r="U23" s="47" t="str">
        <f t="shared" ref="U23:U53" si="10">IF($A23="-","",IF(AND(WEEKDAY($A23,2)&lt;&gt;7,DAY($A23)&lt;&gt;DAY(IF(OR(ISBLANK(_ROK),ISBLANK(_MESIC)),"",EOMONTH(DATE(_ROK,_MESIC,1),0)))),"",
N("***Nápočet počtu hodin za jednotlivé dny***")
+(
IF(OR(LEN($B23)&gt;2,WEEKDAY($A23,2)&gt;5),0,IF(C23=IF(_JAZYK&lt;&gt;"en","odpracováno","worked"),8,IF(EXACT(F23,"d"),4,0)))
+IF(AND(DAY($A22)&gt;0,WEEKDAY($A22,2)=WEEKDAY($A23,2)-1),IF(OR(LEN($B22)&gt;2,WEEKDAY($A22,2)&gt;5),0,IF(C22=IF(_JAZYK&lt;&gt;"en","odpracováno","worked"),8,IF(EXACT(F22,"d"),4,0))),0)
+IF(AND(DAY($A21)&gt;0,WEEKDAY($A21,2)=WEEKDAY($A23,2)-2),IF(OR(LEN($B21)&gt;2,WEEKDAY($A21,2)&gt;5),0,IF(C21=IF(_JAZYK&lt;&gt;"en","odpracováno","worked"),8,IF(EXACT(F21,"d"),4,0))),0)
+IF(AND(DAY($A20)&gt;0,WEEKDAY($A20,2)=WEEKDAY($A23,2)-3),IF(OR(LEN($B20)&gt;2,WEEKDAY($A20,2)&gt;5),0,IF(C20=IF(_JAZYK&lt;&gt;"en","odpracováno","worked"),8,IF(EXACT(F20,"d"),4,0))),0)
+IF(AND(DAY($A19)&gt;0,WEEKDAY($A19,2)=WEEKDAY($A23,2)-4),IF(OR(LEN($B19)&gt;2,WEEKDAY($A19,2)&gt;5),0,IF(C19=IF(_JAZYK&lt;&gt;"en","odpracováno","worked"),8,IF(EXACT(F19,"d"),4,0))),0)
+IF(AND(DAY($A18)&gt;0,WEEKDAY($A18,2)=WEEKDAY($A23,2)-5),IF(OR(LEN($B18)&gt;2,WEEKDAY($A18,2)&gt;5),0,IF(C18=IF(_JAZYK&lt;&gt;"en","odpracováno","worked"),8,IF(EXACT(F18,"d"),4,0))),0)
+IF(AND(DAY($A17)&gt;0,WEEKDAY($A17,2)=WEEKDAY($A23,2)-6),IF(OR(LEN($B17)&gt;2,WEEKDAY($A17,2)&gt;5),0,IF(C17=IF(_JAZYK&lt;&gt;"en","odpracováno","worked"),8,IF(EXACT(F17,"d"),4,0))),0))
/24*IF(OR(_UVAZEK_KOEF="",ISBLANK(_UVAZEK_KOEF)),0,_UVAZEK_KOEF)
+N("***Nápočet počtu hodin u začátku prac. neschopnosti***")
+(
IF(OR(LEN($B23)&gt;2,WEEKDAY($A23,2)&gt;5),0,IF(F23="N",Q23,0))+
+IF(AND(DAY($A22)&gt;0,WEEKDAY($A22,2)=WEEKDAY($A23,2)-1),IF(OR(LEN($B22)&gt;2,WEEKDAY($A22,2)&gt;5),0,IF(F22="N",Q22,0)),0)
+IF(AND(DAY($A21)&gt;0,WEEKDAY($A21,2)=WEEKDAY($A23,2)-2),IF(OR(LEN($B21)&gt;2,WEEKDAY($A21,2)&gt;5),0,IF(F21="N",Q21,0)),0)
+IF(AND(DAY($A20)&gt;0,WEEKDAY($A20,2)=WEEKDAY($A23,2)-3),IF(OR(LEN($B20)&gt;2,WEEKDAY($A20,2)&gt;5),0,IF(F20="N",Q20,0)),0)
+IF(AND(DAY($A19)&gt;0,WEEKDAY($A19,2)=WEEKDAY($A23,2)-4),IF(OR(LEN($B19)&gt;2,WEEKDAY($A19,2)&gt;5),0,IF(F19="N",Q19,0)),0)
+IF(AND(DAY($A18)&gt;0,WEEKDAY($A18,2)=WEEKDAY($A23,2)-5),IF(OR(LEN($B18)&gt;2,WEEKDAY($A18,2)&gt;5),0,IF(F18="N",Q18,0)),0)
+IF(AND(DAY($A17)&gt;0,WEEKDAY($A17,2)=WEEKDAY($A23,2)-6),IF(OR(LEN($B17)&gt;2,WEEKDAY($A17,2)&gt;5),0,IF(F17="N",Q17,0)),0))
))</f>
        <v/>
      </c>
      <c r="V23" s="48" t="str">
        <f t="shared" ref="V23:V52" si="11">IF(OR(T23="",U23=""),"",
IF(INT((T23)*24*60)&gt;INT((U23)*24*60),"+"&amp;DAY(T23-U23)*24+HOUR(T23-U23)&amp;":"&amp;TEXT(MINUTE(T23-U23),"00"),
IF(INT((T23)*24*60)=INT((U23)*24*60)," 0:00",
"-"&amp;DAY(U23-T23)*24+HOUR(U23-T23)&amp;":"&amp;TEXT(MINUTE(U23-T23),"00"))))</f>
        <v/>
      </c>
      <c r="W23" s="3" t="str">
        <f t="shared" ref="W23:W54" si="12">+IF(AA23&lt;&gt;"ok",AA23,"")&amp;IF(AB23&lt;&gt;"ok",AB23,"")&amp;IF(AC23&lt;&gt;"ok",AC23,"")&amp;IF(AD23&lt;&gt;"ok",AD23,"")</f>
        <v/>
      </c>
      <c r="AA23" s="1" t="str">
        <f t="shared" ref="AA23:AA53" si="13">IF(OR(ISBLANK(_ROK),ISBLANK(_MESIC),AND(A23="-",AZ23&gt;10)),"",
IF(AND(NOT(ISBLANK(IF(G23="-",,G23))),ISBLANK(IF(H23="-",,H23))),IF(_JAZYK&lt;&gt;"en","[není vyplněn čas 'práce do'] ","[not filled in 'work to' time] "),
IF(AND(ISBLANK(IF(G23="-",,G23)),NOT(ISBLANK(IF(G23="-",,H23)))),IF(_JAZYK&lt;&gt;"en","[není vyplněn čas 'práce od'] ","[not filled in 'work from' time] "),
IF(AND(NOT(ISBLANK(IF(I23="-",,I23))),ISBLANK(IF(J23="-",,J23))),IF(_JAZYK&lt;&gt;"en","[není vyplněn čas 'přestávka1 do'] ","[time 'break1 to' not filled in] "),
IF(AND(ISBLANK(IF(I23="-",,I23)),NOT(ISBLANK(IF(J23="-",,J23)))),IF(_JAZYK&lt;&gt;"en","[není vyplněn čas 'přestávka1 od'] ","[time 'break1 from' not filled in] "),
IF(AND(NOT(ISBLANK(IF(K23="-",,K23))),ISBLANK(IF(L23="-",,L23))),IF(_JAZYK&lt;&gt;"en","[není vyplněn čas 'přestávka2 do'] ","[time 'break2 to' not filled in] "),
IF(AND(ISBLANK(IF(K23="-",,K23)),NOT(ISBLANK(IF(L23="-",,L23)))),IF(_JAZYK&lt;&gt;"en","[není vyplněn čas 'přestávka2 od'] ","[not filled in 'break2 from' time] "),
IF(INT((IF(ISBLANK(IF(H23="-",,H23)),0,H23))*24*60)&lt;INT((IF(ISBLANK(IF(G23="-",,G23)),0,G23))*24*60),IF(_JAZYK&lt;&gt;"en","[čas 'práce od' musí začínat dříve než 'práce do'] ","[time 'work from' must start before 'work to'] "),
IF(AND(OR(NOT(ISBLANK(IF(I23="-",,I23))),NOT(ISBLANK(IF(J23="-",,J23))),NOT(ISBLANK(IF(K23="-",,K23))),NOT(ISBLANK(IF(L23="-",,L23)))),ISBLANK(IF(G23="-",,G23)),ISBLANK(IF(H23="-",,H23))),IF(_JAZYK&lt;&gt;"en","[není vyplněna 'práce od - do', ačkoliv je vyplněna přestávka] ","[not completed 'work from - to', although break is filled] "),
IF(INT((IF(ISBLANK(IF(G23="-",,G23)),0,G23))*24*60)&gt;=INT((IF(ISBLANK(IF(I23="-",,I23)),1,I23))*24*60),IF(_JAZYK&lt;&gt;"en","[čas 'práce od' musí začínat dříve než přestávka1] ","[time 'work from' must start before break1] "),
IF(INT((IF(ISBLANK(IF(H23="-",,H23)),1,H23))*24*60)&lt;=INT((IF(ISBLANK(IF(J23="-",,J23)),0,J23))*24*60),IF(_JAZYK&lt;&gt;"en","[čas 'práce do' musí končit později než přestávka1] ","[time 'work to' must end later than break1] "),
IF(INT((IF(ISBLANK(IF(G23="-",,G23)),0,G23))*24*60)&gt;=INT((IF(ISBLANK(IF(K23="-",,K23)),1,K23))*24*60),IF(_JAZYK&lt;&gt;"en","[čas 'práce od' musí začínat dříve než přestávka2] ","[time 'work from' must start before break2] "),
IF(INT((IF(ISBLANK(IF(H23="-",,H23)),1,H23))*24*60)&lt;=INT((IF(ISBLANK(IF(L23="-",,L23)),0,L23))*24*60),IF(_JAZYK&lt;&gt;"en","[čas 'práce do' musí končit později než přestávka2] ","[time 'work to' must end later than break2] "),
IF(INT((IF(ISBLANK(IF(J23="-",,J23)),0,J23))*24*60)&gt;=INT((IF(ISBLANK(IF(K23="-",,K23)),1,K23))*24*60),IF(_JAZYK&lt;&gt;"en","[přestávka1 musí začínat dříve přestávka2] ","[break1 must start before break2] "),
IF(INT((IF(ISBLANK(IF(J23="-",,J23)),0,J23))*24*60)&lt;INT((IF(ISBLANK(IF(I23="-",,I23)),0,I23))*24*60),IF(_JAZYK&lt;&gt;"en","[čas 'přestávky1 od' nemůže být později než čas 'přestávky1 do'] ","[time 'break1 from' cannot be later than time 'break1 to'] "),
IF(INT((IF(ISBLANK(IF(L23="-",,L23)),0,L23))*24*60)&lt;INT((IF(ISBLANK(IF(K23="-",,K23)),0,K23))*24*60),IF(_JAZYK&lt;&gt;"en","[čas 'přestávky2 od' nemůže být později než čas 'přestávky2 do'] ","[time 'break2 from' cannot be later than time 'break2 to'] "),
IF(AND(IF(AZ23&lt;10,TRUE,INT(Q23*24*60)&gt;(6*60)),(INT((IF(ISBLANK(IF(H23="-",,H23)),0,H23))*24*60)-INT((IF(ISBLANK(IF(G23="-",,G23)),0,G23))*24*60))&gt;(6*60),INT((IF(ISBLANK(IF(I23="-",,I23)),0,I23))*24*60)=0),IF(_JAZYK&lt;&gt;"en","[nejdéle po 6 hodinách od 'práce od' musí být přestávka1] ","[no more than 6 hours after 'work from' must be a break1] "),
IF(AND(IF(AZ23&lt;10,TRUE,INT(Q23*24*60)&gt;(6*60)),(INT((IF(ISBLANK(IF(H23="-",,H23)),0,H23))*24*60)-INT((IF(ISBLANK(IF(J23="-",,J23)),0,J23))*24*60))&gt;(6*60),INT((IF(ISBLANK(IF(I23="-",,I23)),0,I23))*24*60)&gt;0,INT((IF(ISBLANK(IF(K23="-",,K23)),0,K23))*24*60)=0),IF(_JAZYK&lt;&gt;"en","[nejdéle po 6 hodinách od 'přestávka1 do' musí být přestávka2] ","[no more than 6 hours after 'break1 to' must be break2] "),
IF(AND(IF(AZ23&lt;10,TRUE,INT(Q23*24*60)&gt;(6*60)),(INT((IF(ISBLANK(IF(H23="-",,H23)),0,H23))*24*60)-INT((IF(ISBLANK(IF(L23="-",,L23)),0,L23))*24*60))&gt;(6*60),INT((IF(ISBLANK(IF(I23="-",,I23)),0,I23))*24*60)&gt;0,INT((IF(ISBLANK(IF(K23="-",,K23)),0,K23))*24*60)&gt;0),IF(_JAZYK&lt;&gt;"en","[doba mezi 'přestávka2 do' a 'práce do' nemůže být delší než 6 hodin] ","[time between 'break2 to' and 'work to' cannot be longer than 6 hours] "),
IF(AND(IF(AZ23&lt;10,TRUE,INT(Q23*24*60)&gt;(6*60)),(INT((IF(ISBLANK(IF(I23="-",,I23)),0,I23))*24*60)-INT((IF(ISBLANK(IF(G23="-",,G23)),0,G23))*24*60))&gt;(6*60)),IF(_JAZYK&lt;&gt;"en","[přestávka1 musí být nejdéle po 6 hodinách od 'práce od'] ","[break1 must be no later than 6 hours after 'work from'] "),
IF(AND(IF(AZ23&lt;10,TRUE,INT(Q23*24*60)&gt;(6*60)),(INT((IF(ISBLANK(IF(K23="-",,K23)),0,K23))*24*60)-INT((IF(ISBLANK(IF(J23="-",,J23)),0,J23))*24*60))&gt;(6*60)),IF(_JAZYK&lt;&gt;"en","[přestávka2 musí být nejdéle po 6 hodinách od konce přestávky1] ","[break2 must be no later than 6 hours after end of break1] "),
IF((INT((IF(ISBLANK(IF(J23="-",,J23)),1,J23))*24*60)-INT((IF(ISBLANK(IF(I23="-",,I23)),0,I23))*24*60))&lt;15,IF(_JAZYK&lt;&gt;"en","[přestávka1 musí trvat alespoň 15 minut] ","[break1 must last at least 15 minutes] "),
IF((INT((IF(ISBLANK(IF(L23="-",,L23)),1,L23))*24*60)-INT((IF(ISBLANK(IF(K23="-",,K23)),0,K23))*24*60))&lt;15,IF(_JAZYK&lt;&gt;"en","[přestávka2 musí trvat alespoň 15 minut] ","[break2 must last at least 15 minutes] "),
"ok")))))))))))))))))))))))</f>
        <v/>
      </c>
      <c r="AB23" s="1" t="str">
        <f t="shared" ref="AB23:AB53" si="14">IF($A23="-","",IF(AA23="ok",IF(O23="-",IF((INT((IF(ISBLANK(IF(H23="-",,H23)),0,H23))*24*60)-INT((IF(ISBLANK(IF(G23="-",,G23)),0,G23))*24*60)
-(INT((IF(ISBLANK(IF(J23="-",,J23)),0,J23))*24*60)-INT((IF(ISBLANK(IF(I23="-",,I23)),0,I23))*24*60))
-(INT((IF(ISBLANK(IF(L23="-",,L23)),0,L23))*24*60)-INT((IF(ISBLANK(IF(K23="-",,K23)),0,K23))*24*60)))
&lt;INT((IF(ISBLANK(IF(P23="-",,P23)),0,P23))*24*60),IF(_JAZYK&lt;&gt;"en","[záporná výše korekce nemůže být větší než vykázaná pracovní doba] ","[negative amount of correction cannot be greater than reported working hours] "),"ok"),"ok"),""))</f>
        <v/>
      </c>
      <c r="AC23" s="1" t="str">
        <f t="shared" ref="AC23:AC53" si="15">IF($A23="-","",IF(INT(Q23*24*60)&gt;INT(TIME(12,0,0)*24*60),IF(_JAZYK&lt;&gt;"en","[odpracovaných hodin je více než 12] ","[more than 12 hours worked] "),"ok"))</f>
        <v/>
      </c>
      <c r="AD23" s="1" t="str">
        <f t="shared" ref="AD23:AD53" si="16">+IF(AND(A23="-",NOT(ISBLANK(F23))),IF(_JAZYK&lt;&gt;"en","[úprava statusu dne není možná v neexistující den v měsíci] ","[edit day status is not possible on a non-existent day of the month] "),"ok")</f>
        <v>ok</v>
      </c>
      <c r="AZ23" s="1">
        <f t="shared" si="2"/>
        <v>23</v>
      </c>
    </row>
    <row r="24" spans="1:52" x14ac:dyDescent="0.3">
      <c r="A24" s="23" t="str">
        <f t="shared" ref="A24:A50" si="17">IF(A23="-","-",IF(MONTH(A23+1)=MONTH(A23),A23+1,"-"))</f>
        <v>-</v>
      </c>
      <c r="B24" s="22" t="str">
        <f t="shared" si="5"/>
        <v>-</v>
      </c>
      <c r="C24" s="80" t="str">
        <f t="shared" si="6"/>
        <v>-</v>
      </c>
      <c r="D24" s="81"/>
      <c r="E24" s="82"/>
      <c r="F24" s="42"/>
      <c r="G24" s="43" t="str">
        <f t="shared" si="7"/>
        <v>-</v>
      </c>
      <c r="H24" s="43" t="str">
        <f t="shared" si="7"/>
        <v>-</v>
      </c>
      <c r="I24" s="43" t="str">
        <f t="shared" si="7"/>
        <v>-</v>
      </c>
      <c r="J24" s="43" t="str">
        <f t="shared" si="7"/>
        <v>-</v>
      </c>
      <c r="K24" s="43" t="str">
        <f t="shared" si="7"/>
        <v>-</v>
      </c>
      <c r="L24" s="43" t="str">
        <f t="shared" si="7"/>
        <v>-</v>
      </c>
      <c r="M24" s="100"/>
      <c r="N24" s="101"/>
      <c r="O24" s="44"/>
      <c r="P24" s="45"/>
      <c r="Q24" s="78" t="str">
        <f t="shared" ref="Q24:Q53" si="18">IF(A24="-","",
(IF(OR(ISBLANK(G24),G24="-",ISBLANK(H24),H24="-"),0,
IF(INT((H24)*24*60)&lt;INT((G24)*24*60),0,IF(ISBLANK(IF(H24="-",,H24)),0,H24)-IF(ISBLANK(IF(G24="-",,G24)),0,G24))
-IF(OR(ISBLANK(I24),I24="-",ISBLANK(J24),J24="-"),0,IF(INT((J24)*24*60)&lt;INT((I24)*24*60),0,(IF(ISBLANK(IF(J24="-",,J24)),0,J24)-IF(ISBLANK(IF(I24="-",,I24)),0,I24))))
-IF(OR(ISBLANK(K24),K24="-",ISBLANK(L24),L24="-"),0,IF(INT((L24)*24*60)&lt;INT((K24)*24*60),0,(IF(ISBLANK(IF(L24="-",,L24)),0,L24)-IF(ISBLANK(IF(K24="-",,K24)),0,K24)))))
+N("***Následuje doplnění korekce (nejprve test, že mínusová korekce je menší než nápočet odprac.hodin ***")
+IF(O24="-",IF(IF(OR(ISBLANK(G24),G24="-",ISBLANK(H24),H24="-"),0,IF(INT((H24)*24*60)&lt;INT((G24)*24*60),0,(IF(ISBLANK(IF(H24="-",,H24)),0,H24)-IF(ISBLANK(IF(G24="-",,G24)),0,G24)))
-IF(OR(ISBLANK(I24),I24="-",ISBLANK(J24),J24="-"),0,IF(INT((J24)*24*60)&lt;INT((I24)*24*60),0,IF(ISBLANK(IF(J24="-",,J24)),0,J24)-IF(ISBLANK(IF(I24="-",,I24)),0,I24)))
-IF(OR(ISBLANK(K24),K24="-",ISBLANK(L24),L24="-"),0,IF(INT((L24)*24*60)&lt;INT((K24)*24*60),0,IF(ISBLANK(IF(L24="-",,L24)),0,L24)-IF(ISBLANK(IF(K24="-",,K24)),0,K24))))
&lt;IF(ISBLANK(IF(P24="-",,P24)),0,P24),0,
-IF(ISBLANK(IF(P24="-",,P24)),0,P24)),
+IF(ISBLANK(IF(P24="-",,P24)),0,P24))
))</f>
        <v/>
      </c>
      <c r="R24" s="79"/>
      <c r="S24" s="2" t="str">
        <f t="shared" si="8"/>
        <v/>
      </c>
      <c r="T24" s="47" t="str">
        <f t="shared" si="9"/>
        <v/>
      </c>
      <c r="U24" s="47" t="str">
        <f t="shared" si="10"/>
        <v/>
      </c>
      <c r="V24" s="48" t="str">
        <f t="shared" si="11"/>
        <v/>
      </c>
      <c r="W24" s="3" t="str">
        <f t="shared" si="12"/>
        <v/>
      </c>
      <c r="AA24" s="1" t="str">
        <f t="shared" si="13"/>
        <v/>
      </c>
      <c r="AB24" s="1" t="str">
        <f t="shared" si="14"/>
        <v/>
      </c>
      <c r="AC24" s="1" t="str">
        <f t="shared" si="15"/>
        <v/>
      </c>
      <c r="AD24" s="1" t="str">
        <f t="shared" si="16"/>
        <v>ok</v>
      </c>
      <c r="AZ24" s="1">
        <f t="shared" si="2"/>
        <v>24</v>
      </c>
    </row>
    <row r="25" spans="1:52" x14ac:dyDescent="0.3">
      <c r="A25" s="23" t="str">
        <f t="shared" si="17"/>
        <v>-</v>
      </c>
      <c r="B25" s="22" t="str">
        <f t="shared" si="5"/>
        <v>-</v>
      </c>
      <c r="C25" s="80" t="str">
        <f t="shared" si="6"/>
        <v>-</v>
      </c>
      <c r="D25" s="81"/>
      <c r="E25" s="82"/>
      <c r="F25" s="42"/>
      <c r="G25" s="43" t="str">
        <f t="shared" si="7"/>
        <v>-</v>
      </c>
      <c r="H25" s="43" t="str">
        <f t="shared" si="7"/>
        <v>-</v>
      </c>
      <c r="I25" s="43" t="str">
        <f t="shared" si="7"/>
        <v>-</v>
      </c>
      <c r="J25" s="43" t="str">
        <f t="shared" si="7"/>
        <v>-</v>
      </c>
      <c r="K25" s="43" t="str">
        <f t="shared" si="7"/>
        <v>-</v>
      </c>
      <c r="L25" s="43" t="str">
        <f t="shared" si="7"/>
        <v>-</v>
      </c>
      <c r="M25" s="100"/>
      <c r="N25" s="101"/>
      <c r="O25" s="46"/>
      <c r="P25" s="45"/>
      <c r="Q25" s="78" t="str">
        <f t="shared" si="18"/>
        <v/>
      </c>
      <c r="R25" s="79"/>
      <c r="S25" s="2" t="str">
        <f t="shared" si="8"/>
        <v/>
      </c>
      <c r="T25" s="47" t="str">
        <f t="shared" si="9"/>
        <v/>
      </c>
      <c r="U25" s="47" t="str">
        <f t="shared" si="10"/>
        <v/>
      </c>
      <c r="V25" s="48" t="str">
        <f t="shared" si="11"/>
        <v/>
      </c>
      <c r="W25" s="3" t="str">
        <f t="shared" si="12"/>
        <v/>
      </c>
      <c r="AA25" s="1" t="str">
        <f t="shared" si="13"/>
        <v/>
      </c>
      <c r="AB25" s="1" t="str">
        <f t="shared" si="14"/>
        <v/>
      </c>
      <c r="AC25" s="1" t="str">
        <f t="shared" si="15"/>
        <v/>
      </c>
      <c r="AD25" s="1" t="str">
        <f t="shared" si="16"/>
        <v>ok</v>
      </c>
      <c r="AZ25" s="1">
        <f t="shared" si="2"/>
        <v>25</v>
      </c>
    </row>
    <row r="26" spans="1:52" x14ac:dyDescent="0.3">
      <c r="A26" s="23" t="str">
        <f t="shared" si="17"/>
        <v>-</v>
      </c>
      <c r="B26" s="22" t="str">
        <f t="shared" si="5"/>
        <v>-</v>
      </c>
      <c r="C26" s="80" t="str">
        <f t="shared" si="6"/>
        <v>-</v>
      </c>
      <c r="D26" s="81"/>
      <c r="E26" s="82"/>
      <c r="F26" s="42"/>
      <c r="G26" s="43" t="str">
        <f t="shared" si="7"/>
        <v>-</v>
      </c>
      <c r="H26" s="43" t="str">
        <f t="shared" si="7"/>
        <v>-</v>
      </c>
      <c r="I26" s="43" t="str">
        <f t="shared" si="7"/>
        <v>-</v>
      </c>
      <c r="J26" s="43" t="str">
        <f t="shared" si="7"/>
        <v>-</v>
      </c>
      <c r="K26" s="43" t="str">
        <f t="shared" si="7"/>
        <v>-</v>
      </c>
      <c r="L26" s="43" t="str">
        <f t="shared" si="7"/>
        <v>-</v>
      </c>
      <c r="M26" s="76"/>
      <c r="N26" s="77"/>
      <c r="O26" s="44"/>
      <c r="P26" s="45"/>
      <c r="Q26" s="78" t="str">
        <f t="shared" si="18"/>
        <v/>
      </c>
      <c r="R26" s="79"/>
      <c r="S26" s="2" t="str">
        <f t="shared" si="8"/>
        <v/>
      </c>
      <c r="T26" s="47" t="str">
        <f t="shared" si="9"/>
        <v/>
      </c>
      <c r="U26" s="47" t="str">
        <f t="shared" si="10"/>
        <v/>
      </c>
      <c r="V26" s="48" t="str">
        <f t="shared" si="11"/>
        <v/>
      </c>
      <c r="W26" s="3" t="str">
        <f t="shared" si="12"/>
        <v/>
      </c>
      <c r="AA26" s="1" t="str">
        <f t="shared" si="13"/>
        <v/>
      </c>
      <c r="AB26" s="1" t="str">
        <f t="shared" si="14"/>
        <v/>
      </c>
      <c r="AC26" s="1" t="str">
        <f t="shared" si="15"/>
        <v/>
      </c>
      <c r="AD26" s="1" t="str">
        <f t="shared" si="16"/>
        <v>ok</v>
      </c>
      <c r="AZ26" s="1">
        <f t="shared" si="2"/>
        <v>26</v>
      </c>
    </row>
    <row r="27" spans="1:52" x14ac:dyDescent="0.3">
      <c r="A27" s="23" t="str">
        <f t="shared" si="17"/>
        <v>-</v>
      </c>
      <c r="B27" s="22" t="str">
        <f t="shared" si="5"/>
        <v>-</v>
      </c>
      <c r="C27" s="80" t="str">
        <f t="shared" si="6"/>
        <v>-</v>
      </c>
      <c r="D27" s="81"/>
      <c r="E27" s="82"/>
      <c r="F27" s="42"/>
      <c r="G27" s="43" t="str">
        <f t="shared" si="7"/>
        <v>-</v>
      </c>
      <c r="H27" s="43" t="str">
        <f t="shared" si="7"/>
        <v>-</v>
      </c>
      <c r="I27" s="43" t="str">
        <f t="shared" si="7"/>
        <v>-</v>
      </c>
      <c r="J27" s="43" t="str">
        <f t="shared" si="7"/>
        <v>-</v>
      </c>
      <c r="K27" s="43" t="str">
        <f t="shared" si="7"/>
        <v>-</v>
      </c>
      <c r="L27" s="43" t="str">
        <f t="shared" si="7"/>
        <v>-</v>
      </c>
      <c r="M27" s="76"/>
      <c r="N27" s="77"/>
      <c r="O27" s="46"/>
      <c r="P27" s="45"/>
      <c r="Q27" s="78" t="str">
        <f t="shared" si="18"/>
        <v/>
      </c>
      <c r="R27" s="79"/>
      <c r="S27" s="2" t="str">
        <f t="shared" si="8"/>
        <v/>
      </c>
      <c r="T27" s="47" t="str">
        <f t="shared" si="9"/>
        <v/>
      </c>
      <c r="U27" s="47" t="str">
        <f t="shared" si="10"/>
        <v/>
      </c>
      <c r="V27" s="48" t="str">
        <f t="shared" si="11"/>
        <v/>
      </c>
      <c r="W27" s="3" t="str">
        <f t="shared" si="12"/>
        <v/>
      </c>
      <c r="AA27" s="1" t="str">
        <f t="shared" si="13"/>
        <v/>
      </c>
      <c r="AB27" s="1" t="str">
        <f t="shared" si="14"/>
        <v/>
      </c>
      <c r="AC27" s="1" t="str">
        <f t="shared" si="15"/>
        <v/>
      </c>
      <c r="AD27" s="1" t="str">
        <f t="shared" si="16"/>
        <v>ok</v>
      </c>
      <c r="AZ27" s="1">
        <f t="shared" si="2"/>
        <v>27</v>
      </c>
    </row>
    <row r="28" spans="1:52" x14ac:dyDescent="0.3">
      <c r="A28" s="23" t="str">
        <f t="shared" si="17"/>
        <v>-</v>
      </c>
      <c r="B28" s="22" t="str">
        <f t="shared" si="5"/>
        <v>-</v>
      </c>
      <c r="C28" s="80" t="str">
        <f t="shared" si="6"/>
        <v>-</v>
      </c>
      <c r="D28" s="81"/>
      <c r="E28" s="82"/>
      <c r="F28" s="42"/>
      <c r="G28" s="43" t="str">
        <f t="shared" si="7"/>
        <v>-</v>
      </c>
      <c r="H28" s="43" t="str">
        <f t="shared" si="7"/>
        <v>-</v>
      </c>
      <c r="I28" s="43" t="str">
        <f t="shared" si="7"/>
        <v>-</v>
      </c>
      <c r="J28" s="43" t="str">
        <f t="shared" si="7"/>
        <v>-</v>
      </c>
      <c r="K28" s="43" t="str">
        <f t="shared" si="7"/>
        <v>-</v>
      </c>
      <c r="L28" s="43" t="str">
        <f t="shared" si="7"/>
        <v>-</v>
      </c>
      <c r="M28" s="76"/>
      <c r="N28" s="77"/>
      <c r="O28" s="46"/>
      <c r="P28" s="45"/>
      <c r="Q28" s="78" t="str">
        <f t="shared" si="18"/>
        <v/>
      </c>
      <c r="R28" s="79"/>
      <c r="S28" s="2" t="str">
        <f t="shared" si="8"/>
        <v/>
      </c>
      <c r="T28" s="47" t="str">
        <f t="shared" si="9"/>
        <v/>
      </c>
      <c r="U28" s="47" t="str">
        <f t="shared" si="10"/>
        <v/>
      </c>
      <c r="V28" s="48" t="str">
        <f t="shared" si="11"/>
        <v/>
      </c>
      <c r="W28" s="3" t="str">
        <f t="shared" si="12"/>
        <v/>
      </c>
      <c r="AA28" s="1" t="str">
        <f t="shared" si="13"/>
        <v/>
      </c>
      <c r="AB28" s="1" t="str">
        <f t="shared" si="14"/>
        <v/>
      </c>
      <c r="AC28" s="1" t="str">
        <f t="shared" si="15"/>
        <v/>
      </c>
      <c r="AD28" s="1" t="str">
        <f t="shared" si="16"/>
        <v>ok</v>
      </c>
      <c r="AZ28" s="1">
        <f t="shared" si="2"/>
        <v>28</v>
      </c>
    </row>
    <row r="29" spans="1:52" x14ac:dyDescent="0.3">
      <c r="A29" s="23" t="str">
        <f t="shared" si="17"/>
        <v>-</v>
      </c>
      <c r="B29" s="22" t="str">
        <f t="shared" si="5"/>
        <v>-</v>
      </c>
      <c r="C29" s="80" t="str">
        <f t="shared" si="6"/>
        <v>-</v>
      </c>
      <c r="D29" s="81"/>
      <c r="E29" s="82"/>
      <c r="F29" s="42"/>
      <c r="G29" s="43" t="str">
        <f t="shared" si="7"/>
        <v>-</v>
      </c>
      <c r="H29" s="43" t="str">
        <f t="shared" si="7"/>
        <v>-</v>
      </c>
      <c r="I29" s="43" t="str">
        <f t="shared" si="7"/>
        <v>-</v>
      </c>
      <c r="J29" s="43" t="str">
        <f t="shared" si="7"/>
        <v>-</v>
      </c>
      <c r="K29" s="43" t="str">
        <f t="shared" si="7"/>
        <v>-</v>
      </c>
      <c r="L29" s="43" t="str">
        <f t="shared" si="7"/>
        <v>-</v>
      </c>
      <c r="M29" s="76"/>
      <c r="N29" s="77"/>
      <c r="O29" s="46"/>
      <c r="P29" s="45"/>
      <c r="Q29" s="78" t="str">
        <f t="shared" si="18"/>
        <v/>
      </c>
      <c r="R29" s="79"/>
      <c r="S29" s="2" t="str">
        <f t="shared" si="8"/>
        <v/>
      </c>
      <c r="T29" s="47" t="str">
        <f t="shared" si="9"/>
        <v/>
      </c>
      <c r="U29" s="47" t="str">
        <f t="shared" si="10"/>
        <v/>
      </c>
      <c r="V29" s="48" t="str">
        <f t="shared" si="11"/>
        <v/>
      </c>
      <c r="W29" s="3" t="str">
        <f t="shared" si="12"/>
        <v/>
      </c>
      <c r="AA29" s="1" t="str">
        <f t="shared" si="13"/>
        <v/>
      </c>
      <c r="AB29" s="1" t="str">
        <f t="shared" si="14"/>
        <v/>
      </c>
      <c r="AC29" s="1" t="str">
        <f t="shared" si="15"/>
        <v/>
      </c>
      <c r="AD29" s="1" t="str">
        <f t="shared" si="16"/>
        <v>ok</v>
      </c>
      <c r="AZ29" s="1">
        <f t="shared" si="2"/>
        <v>29</v>
      </c>
    </row>
    <row r="30" spans="1:52" x14ac:dyDescent="0.3">
      <c r="A30" s="23" t="str">
        <f t="shared" si="17"/>
        <v>-</v>
      </c>
      <c r="B30" s="22" t="str">
        <f t="shared" si="5"/>
        <v>-</v>
      </c>
      <c r="C30" s="80" t="str">
        <f t="shared" si="6"/>
        <v>-</v>
      </c>
      <c r="D30" s="81"/>
      <c r="E30" s="82"/>
      <c r="F30" s="42"/>
      <c r="G30" s="43" t="str">
        <f t="shared" si="7"/>
        <v>-</v>
      </c>
      <c r="H30" s="43" t="str">
        <f t="shared" si="7"/>
        <v>-</v>
      </c>
      <c r="I30" s="43" t="str">
        <f t="shared" si="7"/>
        <v>-</v>
      </c>
      <c r="J30" s="43" t="str">
        <f t="shared" si="7"/>
        <v>-</v>
      </c>
      <c r="K30" s="43" t="str">
        <f t="shared" si="7"/>
        <v>-</v>
      </c>
      <c r="L30" s="43" t="str">
        <f t="shared" si="7"/>
        <v>-</v>
      </c>
      <c r="M30" s="76"/>
      <c r="N30" s="77"/>
      <c r="O30" s="46"/>
      <c r="P30" s="45"/>
      <c r="Q30" s="78" t="str">
        <f t="shared" si="18"/>
        <v/>
      </c>
      <c r="R30" s="79"/>
      <c r="S30" s="2" t="str">
        <f t="shared" si="8"/>
        <v/>
      </c>
      <c r="T30" s="47" t="str">
        <f t="shared" si="9"/>
        <v/>
      </c>
      <c r="U30" s="47" t="str">
        <f t="shared" si="10"/>
        <v/>
      </c>
      <c r="V30" s="48" t="str">
        <f t="shared" si="11"/>
        <v/>
      </c>
      <c r="W30" s="3" t="str">
        <f t="shared" si="12"/>
        <v/>
      </c>
      <c r="AA30" s="1" t="str">
        <f t="shared" si="13"/>
        <v/>
      </c>
      <c r="AB30" s="1" t="str">
        <f t="shared" si="14"/>
        <v/>
      </c>
      <c r="AC30" s="1" t="str">
        <f t="shared" si="15"/>
        <v/>
      </c>
      <c r="AD30" s="1" t="str">
        <f t="shared" si="16"/>
        <v>ok</v>
      </c>
      <c r="AZ30" s="1">
        <f t="shared" si="2"/>
        <v>30</v>
      </c>
    </row>
    <row r="31" spans="1:52" x14ac:dyDescent="0.3">
      <c r="A31" s="23" t="str">
        <f t="shared" si="17"/>
        <v>-</v>
      </c>
      <c r="B31" s="22" t="str">
        <f t="shared" si="5"/>
        <v>-</v>
      </c>
      <c r="C31" s="80" t="str">
        <f t="shared" si="6"/>
        <v>-</v>
      </c>
      <c r="D31" s="81"/>
      <c r="E31" s="82"/>
      <c r="F31" s="42"/>
      <c r="G31" s="43" t="str">
        <f t="shared" si="7"/>
        <v>-</v>
      </c>
      <c r="H31" s="43" t="str">
        <f t="shared" si="7"/>
        <v>-</v>
      </c>
      <c r="I31" s="43" t="str">
        <f t="shared" si="7"/>
        <v>-</v>
      </c>
      <c r="J31" s="43" t="str">
        <f t="shared" si="7"/>
        <v>-</v>
      </c>
      <c r="K31" s="43" t="str">
        <f t="shared" si="7"/>
        <v>-</v>
      </c>
      <c r="L31" s="43" t="str">
        <f t="shared" si="7"/>
        <v>-</v>
      </c>
      <c r="M31" s="76"/>
      <c r="N31" s="77"/>
      <c r="O31" s="46"/>
      <c r="P31" s="45"/>
      <c r="Q31" s="78" t="str">
        <f t="shared" si="18"/>
        <v/>
      </c>
      <c r="R31" s="79"/>
      <c r="S31" s="2" t="str">
        <f t="shared" si="8"/>
        <v/>
      </c>
      <c r="T31" s="47" t="str">
        <f t="shared" si="9"/>
        <v/>
      </c>
      <c r="U31" s="47" t="str">
        <f t="shared" si="10"/>
        <v/>
      </c>
      <c r="V31" s="48" t="str">
        <f t="shared" si="11"/>
        <v/>
      </c>
      <c r="W31" s="3" t="str">
        <f t="shared" si="12"/>
        <v/>
      </c>
      <c r="AA31" s="1" t="str">
        <f t="shared" si="13"/>
        <v/>
      </c>
      <c r="AB31" s="1" t="str">
        <f t="shared" si="14"/>
        <v/>
      </c>
      <c r="AC31" s="1" t="str">
        <f t="shared" si="15"/>
        <v/>
      </c>
      <c r="AD31" s="1" t="str">
        <f t="shared" si="16"/>
        <v>ok</v>
      </c>
      <c r="AZ31" s="1">
        <f t="shared" si="2"/>
        <v>31</v>
      </c>
    </row>
    <row r="32" spans="1:52" x14ac:dyDescent="0.3">
      <c r="A32" s="23" t="str">
        <f t="shared" si="17"/>
        <v>-</v>
      </c>
      <c r="B32" s="22" t="str">
        <f t="shared" si="5"/>
        <v>-</v>
      </c>
      <c r="C32" s="80" t="str">
        <f t="shared" si="6"/>
        <v>-</v>
      </c>
      <c r="D32" s="81"/>
      <c r="E32" s="82"/>
      <c r="F32" s="42"/>
      <c r="G32" s="43" t="str">
        <f t="shared" si="7"/>
        <v>-</v>
      </c>
      <c r="H32" s="43" t="str">
        <f t="shared" si="7"/>
        <v>-</v>
      </c>
      <c r="I32" s="43" t="str">
        <f t="shared" si="7"/>
        <v>-</v>
      </c>
      <c r="J32" s="43" t="str">
        <f t="shared" si="7"/>
        <v>-</v>
      </c>
      <c r="K32" s="43" t="str">
        <f t="shared" si="7"/>
        <v>-</v>
      </c>
      <c r="L32" s="43" t="str">
        <f t="shared" si="7"/>
        <v>-</v>
      </c>
      <c r="M32" s="76"/>
      <c r="N32" s="77"/>
      <c r="O32" s="44"/>
      <c r="P32" s="45"/>
      <c r="Q32" s="78" t="str">
        <f t="shared" si="18"/>
        <v/>
      </c>
      <c r="R32" s="79"/>
      <c r="S32" s="2" t="str">
        <f t="shared" si="8"/>
        <v/>
      </c>
      <c r="T32" s="47" t="str">
        <f t="shared" si="9"/>
        <v/>
      </c>
      <c r="U32" s="47" t="str">
        <f t="shared" si="10"/>
        <v/>
      </c>
      <c r="V32" s="48" t="str">
        <f t="shared" si="11"/>
        <v/>
      </c>
      <c r="W32" s="3" t="str">
        <f t="shared" si="12"/>
        <v/>
      </c>
      <c r="AA32" s="1" t="str">
        <f t="shared" si="13"/>
        <v/>
      </c>
      <c r="AB32" s="1" t="str">
        <f t="shared" si="14"/>
        <v/>
      </c>
      <c r="AC32" s="1" t="str">
        <f t="shared" si="15"/>
        <v/>
      </c>
      <c r="AD32" s="1" t="str">
        <f t="shared" si="16"/>
        <v>ok</v>
      </c>
      <c r="AZ32" s="1">
        <f t="shared" si="2"/>
        <v>32</v>
      </c>
    </row>
    <row r="33" spans="1:52" x14ac:dyDescent="0.3">
      <c r="A33" s="23" t="str">
        <f t="shared" si="17"/>
        <v>-</v>
      </c>
      <c r="B33" s="22" t="str">
        <f t="shared" si="5"/>
        <v>-</v>
      </c>
      <c r="C33" s="80" t="str">
        <f t="shared" si="6"/>
        <v>-</v>
      </c>
      <c r="D33" s="81"/>
      <c r="E33" s="82"/>
      <c r="F33" s="42"/>
      <c r="G33" s="43" t="str">
        <f t="shared" ref="G33:L42" si="19">IF($A33="","",IF(OR($C33=IF(_JAZYK&lt;&gt;"en","svátek","holiday"),EXACT($F33,"D"),EXACT($F33,"N"),EXACT($F33,"T"),EXACT($F33,"O"),EXACT($F33,"-")),"-",IF(ISNA(VLOOKUP($B33,$F$2:$L$6,G$16,FALSE))=TRUE,"-",IF(ISBLANK(VLOOKUP($B33,$F$2:$L$6,G$16,FALSE)),"-",VLOOKUP($B33,$F$2:$L$6,G$16,FALSE)))))</f>
        <v>-</v>
      </c>
      <c r="H33" s="43" t="str">
        <f t="shared" si="19"/>
        <v>-</v>
      </c>
      <c r="I33" s="43" t="str">
        <f t="shared" si="19"/>
        <v>-</v>
      </c>
      <c r="J33" s="43" t="str">
        <f t="shared" si="19"/>
        <v>-</v>
      </c>
      <c r="K33" s="43" t="str">
        <f t="shared" si="19"/>
        <v>-</v>
      </c>
      <c r="L33" s="43" t="str">
        <f t="shared" si="19"/>
        <v>-</v>
      </c>
      <c r="M33" s="76"/>
      <c r="N33" s="77"/>
      <c r="O33" s="46"/>
      <c r="P33" s="45"/>
      <c r="Q33" s="78" t="str">
        <f t="shared" si="18"/>
        <v/>
      </c>
      <c r="R33" s="79"/>
      <c r="S33" s="2" t="str">
        <f t="shared" si="8"/>
        <v/>
      </c>
      <c r="T33" s="47" t="str">
        <f t="shared" si="9"/>
        <v/>
      </c>
      <c r="U33" s="47" t="str">
        <f t="shared" si="10"/>
        <v/>
      </c>
      <c r="V33" s="48" t="str">
        <f t="shared" si="11"/>
        <v/>
      </c>
      <c r="W33" s="3" t="str">
        <f t="shared" si="12"/>
        <v/>
      </c>
      <c r="AA33" s="1" t="str">
        <f t="shared" si="13"/>
        <v/>
      </c>
      <c r="AB33" s="1" t="str">
        <f t="shared" si="14"/>
        <v/>
      </c>
      <c r="AC33" s="1" t="str">
        <f t="shared" si="15"/>
        <v/>
      </c>
      <c r="AD33" s="1" t="str">
        <f t="shared" si="16"/>
        <v>ok</v>
      </c>
      <c r="AZ33" s="1">
        <f t="shared" si="2"/>
        <v>33</v>
      </c>
    </row>
    <row r="34" spans="1:52" x14ac:dyDescent="0.3">
      <c r="A34" s="23" t="str">
        <f t="shared" si="17"/>
        <v>-</v>
      </c>
      <c r="B34" s="22" t="str">
        <f t="shared" si="5"/>
        <v>-</v>
      </c>
      <c r="C34" s="80" t="str">
        <f t="shared" si="6"/>
        <v>-</v>
      </c>
      <c r="D34" s="81"/>
      <c r="E34" s="82"/>
      <c r="F34" s="42"/>
      <c r="G34" s="43" t="str">
        <f t="shared" si="19"/>
        <v>-</v>
      </c>
      <c r="H34" s="43" t="str">
        <f t="shared" si="19"/>
        <v>-</v>
      </c>
      <c r="I34" s="43" t="str">
        <f t="shared" si="19"/>
        <v>-</v>
      </c>
      <c r="J34" s="43" t="str">
        <f t="shared" si="19"/>
        <v>-</v>
      </c>
      <c r="K34" s="43" t="str">
        <f t="shared" si="19"/>
        <v>-</v>
      </c>
      <c r="L34" s="43" t="str">
        <f t="shared" si="19"/>
        <v>-</v>
      </c>
      <c r="M34" s="76"/>
      <c r="N34" s="77"/>
      <c r="O34" s="44"/>
      <c r="P34" s="45"/>
      <c r="Q34" s="78" t="str">
        <f t="shared" si="18"/>
        <v/>
      </c>
      <c r="R34" s="79"/>
      <c r="S34" s="2" t="str">
        <f t="shared" si="8"/>
        <v/>
      </c>
      <c r="T34" s="47" t="str">
        <f t="shared" si="9"/>
        <v/>
      </c>
      <c r="U34" s="47" t="str">
        <f t="shared" si="10"/>
        <v/>
      </c>
      <c r="V34" s="48" t="str">
        <f t="shared" si="11"/>
        <v/>
      </c>
      <c r="W34" s="3" t="str">
        <f t="shared" si="12"/>
        <v/>
      </c>
      <c r="AA34" s="1" t="str">
        <f t="shared" si="13"/>
        <v/>
      </c>
      <c r="AB34" s="1" t="str">
        <f t="shared" si="14"/>
        <v/>
      </c>
      <c r="AC34" s="1" t="str">
        <f t="shared" si="15"/>
        <v/>
      </c>
      <c r="AD34" s="1" t="str">
        <f t="shared" si="16"/>
        <v>ok</v>
      </c>
      <c r="AZ34" s="1">
        <f t="shared" si="2"/>
        <v>34</v>
      </c>
    </row>
    <row r="35" spans="1:52" x14ac:dyDescent="0.3">
      <c r="A35" s="23" t="str">
        <f t="shared" si="17"/>
        <v>-</v>
      </c>
      <c r="B35" s="22" t="str">
        <f t="shared" si="5"/>
        <v>-</v>
      </c>
      <c r="C35" s="80" t="str">
        <f t="shared" si="6"/>
        <v>-</v>
      </c>
      <c r="D35" s="81"/>
      <c r="E35" s="82"/>
      <c r="F35" s="42"/>
      <c r="G35" s="43" t="str">
        <f t="shared" si="19"/>
        <v>-</v>
      </c>
      <c r="H35" s="43" t="str">
        <f t="shared" si="19"/>
        <v>-</v>
      </c>
      <c r="I35" s="43" t="str">
        <f t="shared" si="19"/>
        <v>-</v>
      </c>
      <c r="J35" s="43" t="str">
        <f t="shared" si="19"/>
        <v>-</v>
      </c>
      <c r="K35" s="43" t="str">
        <f t="shared" si="19"/>
        <v>-</v>
      </c>
      <c r="L35" s="43" t="str">
        <f t="shared" si="19"/>
        <v>-</v>
      </c>
      <c r="M35" s="76"/>
      <c r="N35" s="77"/>
      <c r="O35" s="46"/>
      <c r="P35" s="45"/>
      <c r="Q35" s="78" t="str">
        <f t="shared" si="18"/>
        <v/>
      </c>
      <c r="R35" s="79"/>
      <c r="S35" s="2" t="str">
        <f t="shared" si="8"/>
        <v/>
      </c>
      <c r="T35" s="47" t="str">
        <f t="shared" si="9"/>
        <v/>
      </c>
      <c r="U35" s="47" t="str">
        <f t="shared" si="10"/>
        <v/>
      </c>
      <c r="V35" s="48" t="str">
        <f t="shared" si="11"/>
        <v/>
      </c>
      <c r="W35" s="3" t="str">
        <f t="shared" si="12"/>
        <v/>
      </c>
      <c r="AA35" s="1" t="str">
        <f t="shared" si="13"/>
        <v/>
      </c>
      <c r="AB35" s="1" t="str">
        <f t="shared" si="14"/>
        <v/>
      </c>
      <c r="AC35" s="1" t="str">
        <f t="shared" si="15"/>
        <v/>
      </c>
      <c r="AD35" s="1" t="str">
        <f t="shared" si="16"/>
        <v>ok</v>
      </c>
      <c r="AZ35" s="1">
        <f t="shared" si="2"/>
        <v>35</v>
      </c>
    </row>
    <row r="36" spans="1:52" x14ac:dyDescent="0.3">
      <c r="A36" s="23" t="str">
        <f t="shared" si="17"/>
        <v>-</v>
      </c>
      <c r="B36" s="22" t="str">
        <f t="shared" si="5"/>
        <v>-</v>
      </c>
      <c r="C36" s="80" t="str">
        <f t="shared" si="6"/>
        <v>-</v>
      </c>
      <c r="D36" s="81"/>
      <c r="E36" s="82"/>
      <c r="F36" s="42"/>
      <c r="G36" s="43" t="str">
        <f t="shared" si="19"/>
        <v>-</v>
      </c>
      <c r="H36" s="43" t="str">
        <f t="shared" si="19"/>
        <v>-</v>
      </c>
      <c r="I36" s="43" t="str">
        <f t="shared" si="19"/>
        <v>-</v>
      </c>
      <c r="J36" s="43" t="str">
        <f t="shared" si="19"/>
        <v>-</v>
      </c>
      <c r="K36" s="43" t="str">
        <f t="shared" si="19"/>
        <v>-</v>
      </c>
      <c r="L36" s="43" t="str">
        <f t="shared" si="19"/>
        <v>-</v>
      </c>
      <c r="M36" s="76"/>
      <c r="N36" s="77"/>
      <c r="O36" s="46"/>
      <c r="P36" s="45"/>
      <c r="Q36" s="78" t="str">
        <f t="shared" si="18"/>
        <v/>
      </c>
      <c r="R36" s="79"/>
      <c r="S36" s="2" t="str">
        <f t="shared" si="8"/>
        <v/>
      </c>
      <c r="T36" s="47" t="str">
        <f t="shared" si="9"/>
        <v/>
      </c>
      <c r="U36" s="47" t="str">
        <f t="shared" si="10"/>
        <v/>
      </c>
      <c r="V36" s="48" t="str">
        <f t="shared" si="11"/>
        <v/>
      </c>
      <c r="W36" s="3" t="str">
        <f t="shared" si="12"/>
        <v/>
      </c>
      <c r="AA36" s="1" t="str">
        <f t="shared" si="13"/>
        <v/>
      </c>
      <c r="AB36" s="1" t="str">
        <f t="shared" si="14"/>
        <v/>
      </c>
      <c r="AC36" s="1" t="str">
        <f t="shared" si="15"/>
        <v/>
      </c>
      <c r="AD36" s="1" t="str">
        <f t="shared" si="16"/>
        <v>ok</v>
      </c>
      <c r="AZ36" s="1">
        <f t="shared" si="2"/>
        <v>36</v>
      </c>
    </row>
    <row r="37" spans="1:52" x14ac:dyDescent="0.3">
      <c r="A37" s="23" t="str">
        <f t="shared" si="17"/>
        <v>-</v>
      </c>
      <c r="B37" s="22" t="str">
        <f t="shared" si="5"/>
        <v>-</v>
      </c>
      <c r="C37" s="80" t="str">
        <f t="shared" si="6"/>
        <v>-</v>
      </c>
      <c r="D37" s="81"/>
      <c r="E37" s="82"/>
      <c r="F37" s="42"/>
      <c r="G37" s="43" t="str">
        <f t="shared" si="19"/>
        <v>-</v>
      </c>
      <c r="H37" s="43" t="str">
        <f t="shared" si="19"/>
        <v>-</v>
      </c>
      <c r="I37" s="43" t="str">
        <f t="shared" si="19"/>
        <v>-</v>
      </c>
      <c r="J37" s="43" t="str">
        <f t="shared" si="19"/>
        <v>-</v>
      </c>
      <c r="K37" s="43" t="str">
        <f t="shared" si="19"/>
        <v>-</v>
      </c>
      <c r="L37" s="43" t="str">
        <f t="shared" si="19"/>
        <v>-</v>
      </c>
      <c r="M37" s="76"/>
      <c r="N37" s="77"/>
      <c r="O37" s="46"/>
      <c r="P37" s="45"/>
      <c r="Q37" s="78" t="str">
        <f t="shared" si="18"/>
        <v/>
      </c>
      <c r="R37" s="79"/>
      <c r="S37" s="2" t="str">
        <f t="shared" si="8"/>
        <v/>
      </c>
      <c r="T37" s="47" t="str">
        <f t="shared" si="9"/>
        <v/>
      </c>
      <c r="U37" s="47" t="str">
        <f t="shared" si="10"/>
        <v/>
      </c>
      <c r="V37" s="48" t="str">
        <f t="shared" si="11"/>
        <v/>
      </c>
      <c r="W37" s="3" t="str">
        <f t="shared" si="12"/>
        <v/>
      </c>
      <c r="AA37" s="1" t="str">
        <f t="shared" si="13"/>
        <v/>
      </c>
      <c r="AB37" s="1" t="str">
        <f t="shared" si="14"/>
        <v/>
      </c>
      <c r="AC37" s="1" t="str">
        <f t="shared" si="15"/>
        <v/>
      </c>
      <c r="AD37" s="1" t="str">
        <f t="shared" si="16"/>
        <v>ok</v>
      </c>
      <c r="AZ37" s="1">
        <f t="shared" si="2"/>
        <v>37</v>
      </c>
    </row>
    <row r="38" spans="1:52" x14ac:dyDescent="0.3">
      <c r="A38" s="23" t="str">
        <f t="shared" si="17"/>
        <v>-</v>
      </c>
      <c r="B38" s="22" t="str">
        <f t="shared" si="5"/>
        <v>-</v>
      </c>
      <c r="C38" s="80" t="str">
        <f t="shared" si="6"/>
        <v>-</v>
      </c>
      <c r="D38" s="81"/>
      <c r="E38" s="82"/>
      <c r="F38" s="42"/>
      <c r="G38" s="43" t="str">
        <f t="shared" si="19"/>
        <v>-</v>
      </c>
      <c r="H38" s="43" t="str">
        <f t="shared" si="19"/>
        <v>-</v>
      </c>
      <c r="I38" s="43" t="str">
        <f t="shared" si="19"/>
        <v>-</v>
      </c>
      <c r="J38" s="43" t="str">
        <f t="shared" si="19"/>
        <v>-</v>
      </c>
      <c r="K38" s="43" t="str">
        <f t="shared" si="19"/>
        <v>-</v>
      </c>
      <c r="L38" s="43" t="str">
        <f t="shared" si="19"/>
        <v>-</v>
      </c>
      <c r="M38" s="76"/>
      <c r="N38" s="77"/>
      <c r="O38" s="46"/>
      <c r="P38" s="45"/>
      <c r="Q38" s="78" t="str">
        <f t="shared" si="18"/>
        <v/>
      </c>
      <c r="R38" s="79"/>
      <c r="S38" s="2" t="str">
        <f t="shared" si="8"/>
        <v/>
      </c>
      <c r="T38" s="47" t="str">
        <f t="shared" si="9"/>
        <v/>
      </c>
      <c r="U38" s="47" t="str">
        <f t="shared" si="10"/>
        <v/>
      </c>
      <c r="V38" s="48" t="str">
        <f t="shared" si="11"/>
        <v/>
      </c>
      <c r="W38" s="3" t="str">
        <f t="shared" si="12"/>
        <v/>
      </c>
      <c r="AA38" s="1" t="str">
        <f t="shared" si="13"/>
        <v/>
      </c>
      <c r="AB38" s="1" t="str">
        <f t="shared" si="14"/>
        <v/>
      </c>
      <c r="AC38" s="1" t="str">
        <f t="shared" si="15"/>
        <v/>
      </c>
      <c r="AD38" s="1" t="str">
        <f t="shared" si="16"/>
        <v>ok</v>
      </c>
      <c r="AZ38" s="1">
        <f t="shared" si="2"/>
        <v>38</v>
      </c>
    </row>
    <row r="39" spans="1:52" x14ac:dyDescent="0.3">
      <c r="A39" s="23" t="str">
        <f t="shared" si="17"/>
        <v>-</v>
      </c>
      <c r="B39" s="22" t="str">
        <f t="shared" si="5"/>
        <v>-</v>
      </c>
      <c r="C39" s="80" t="str">
        <f t="shared" si="6"/>
        <v>-</v>
      </c>
      <c r="D39" s="81"/>
      <c r="E39" s="82"/>
      <c r="F39" s="42"/>
      <c r="G39" s="43" t="str">
        <f t="shared" si="19"/>
        <v>-</v>
      </c>
      <c r="H39" s="43" t="str">
        <f t="shared" si="19"/>
        <v>-</v>
      </c>
      <c r="I39" s="43" t="str">
        <f t="shared" si="19"/>
        <v>-</v>
      </c>
      <c r="J39" s="43" t="str">
        <f t="shared" si="19"/>
        <v>-</v>
      </c>
      <c r="K39" s="43" t="str">
        <f t="shared" si="19"/>
        <v>-</v>
      </c>
      <c r="L39" s="43" t="str">
        <f t="shared" si="19"/>
        <v>-</v>
      </c>
      <c r="M39" s="76"/>
      <c r="N39" s="77"/>
      <c r="O39" s="44"/>
      <c r="P39" s="45"/>
      <c r="Q39" s="78" t="str">
        <f t="shared" si="18"/>
        <v/>
      </c>
      <c r="R39" s="79"/>
      <c r="S39" s="2" t="str">
        <f t="shared" si="8"/>
        <v/>
      </c>
      <c r="T39" s="47" t="str">
        <f t="shared" si="9"/>
        <v/>
      </c>
      <c r="U39" s="47" t="str">
        <f t="shared" si="10"/>
        <v/>
      </c>
      <c r="V39" s="48" t="str">
        <f t="shared" si="11"/>
        <v/>
      </c>
      <c r="W39" s="3" t="str">
        <f t="shared" si="12"/>
        <v/>
      </c>
      <c r="AA39" s="1" t="str">
        <f t="shared" si="13"/>
        <v/>
      </c>
      <c r="AB39" s="1" t="str">
        <f t="shared" si="14"/>
        <v/>
      </c>
      <c r="AC39" s="1" t="str">
        <f t="shared" si="15"/>
        <v/>
      </c>
      <c r="AD39" s="1" t="str">
        <f t="shared" si="16"/>
        <v>ok</v>
      </c>
      <c r="AZ39" s="1">
        <f t="shared" si="2"/>
        <v>39</v>
      </c>
    </row>
    <row r="40" spans="1:52" x14ac:dyDescent="0.3">
      <c r="A40" s="23" t="str">
        <f t="shared" si="17"/>
        <v>-</v>
      </c>
      <c r="B40" s="22" t="str">
        <f t="shared" si="5"/>
        <v>-</v>
      </c>
      <c r="C40" s="80" t="str">
        <f t="shared" si="6"/>
        <v>-</v>
      </c>
      <c r="D40" s="81"/>
      <c r="E40" s="82"/>
      <c r="F40" s="42"/>
      <c r="G40" s="43" t="str">
        <f t="shared" si="19"/>
        <v>-</v>
      </c>
      <c r="H40" s="43" t="str">
        <f t="shared" si="19"/>
        <v>-</v>
      </c>
      <c r="I40" s="43" t="str">
        <f t="shared" si="19"/>
        <v>-</v>
      </c>
      <c r="J40" s="43" t="str">
        <f t="shared" si="19"/>
        <v>-</v>
      </c>
      <c r="K40" s="43" t="str">
        <f t="shared" si="19"/>
        <v>-</v>
      </c>
      <c r="L40" s="43" t="str">
        <f t="shared" si="19"/>
        <v>-</v>
      </c>
      <c r="M40" s="76"/>
      <c r="N40" s="77"/>
      <c r="O40" s="46"/>
      <c r="P40" s="45"/>
      <c r="Q40" s="78" t="str">
        <f t="shared" si="18"/>
        <v/>
      </c>
      <c r="R40" s="79"/>
      <c r="S40" s="2" t="str">
        <f t="shared" si="8"/>
        <v/>
      </c>
      <c r="T40" s="47" t="str">
        <f t="shared" si="9"/>
        <v/>
      </c>
      <c r="U40" s="47" t="str">
        <f t="shared" si="10"/>
        <v/>
      </c>
      <c r="V40" s="48" t="str">
        <f t="shared" si="11"/>
        <v/>
      </c>
      <c r="W40" s="3" t="str">
        <f t="shared" si="12"/>
        <v/>
      </c>
      <c r="AA40" s="1" t="str">
        <f t="shared" si="13"/>
        <v/>
      </c>
      <c r="AB40" s="1" t="str">
        <f t="shared" si="14"/>
        <v/>
      </c>
      <c r="AC40" s="1" t="str">
        <f t="shared" si="15"/>
        <v/>
      </c>
      <c r="AD40" s="1" t="str">
        <f t="shared" si="16"/>
        <v>ok</v>
      </c>
      <c r="AZ40" s="1">
        <f t="shared" si="2"/>
        <v>40</v>
      </c>
    </row>
    <row r="41" spans="1:52" x14ac:dyDescent="0.3">
      <c r="A41" s="23" t="str">
        <f t="shared" si="17"/>
        <v>-</v>
      </c>
      <c r="B41" s="22" t="str">
        <f t="shared" si="5"/>
        <v>-</v>
      </c>
      <c r="C41" s="80" t="str">
        <f t="shared" si="6"/>
        <v>-</v>
      </c>
      <c r="D41" s="81"/>
      <c r="E41" s="82"/>
      <c r="F41" s="42"/>
      <c r="G41" s="43" t="str">
        <f t="shared" si="19"/>
        <v>-</v>
      </c>
      <c r="H41" s="43" t="str">
        <f t="shared" si="19"/>
        <v>-</v>
      </c>
      <c r="I41" s="43" t="str">
        <f t="shared" si="19"/>
        <v>-</v>
      </c>
      <c r="J41" s="43" t="str">
        <f t="shared" si="19"/>
        <v>-</v>
      </c>
      <c r="K41" s="43" t="str">
        <f t="shared" si="19"/>
        <v>-</v>
      </c>
      <c r="L41" s="43" t="str">
        <f t="shared" si="19"/>
        <v>-</v>
      </c>
      <c r="M41" s="76"/>
      <c r="N41" s="77"/>
      <c r="O41" s="46"/>
      <c r="P41" s="45"/>
      <c r="Q41" s="78" t="str">
        <f t="shared" si="18"/>
        <v/>
      </c>
      <c r="R41" s="79"/>
      <c r="S41" s="2" t="str">
        <f t="shared" si="8"/>
        <v/>
      </c>
      <c r="T41" s="47" t="str">
        <f t="shared" si="9"/>
        <v/>
      </c>
      <c r="U41" s="47" t="str">
        <f t="shared" si="10"/>
        <v/>
      </c>
      <c r="V41" s="48" t="str">
        <f t="shared" si="11"/>
        <v/>
      </c>
      <c r="W41" s="3" t="str">
        <f t="shared" si="12"/>
        <v/>
      </c>
      <c r="AA41" s="1" t="str">
        <f t="shared" si="13"/>
        <v/>
      </c>
      <c r="AB41" s="1" t="str">
        <f t="shared" si="14"/>
        <v/>
      </c>
      <c r="AC41" s="1" t="str">
        <f t="shared" si="15"/>
        <v/>
      </c>
      <c r="AD41" s="1" t="str">
        <f t="shared" si="16"/>
        <v>ok</v>
      </c>
      <c r="AZ41" s="1">
        <f t="shared" si="2"/>
        <v>41</v>
      </c>
    </row>
    <row r="42" spans="1:52" x14ac:dyDescent="0.3">
      <c r="A42" s="23" t="str">
        <f t="shared" si="17"/>
        <v>-</v>
      </c>
      <c r="B42" s="22" t="str">
        <f t="shared" si="5"/>
        <v>-</v>
      </c>
      <c r="C42" s="80" t="str">
        <f t="shared" si="6"/>
        <v>-</v>
      </c>
      <c r="D42" s="81"/>
      <c r="E42" s="82"/>
      <c r="F42" s="42"/>
      <c r="G42" s="43" t="str">
        <f t="shared" si="19"/>
        <v>-</v>
      </c>
      <c r="H42" s="43" t="str">
        <f t="shared" si="19"/>
        <v>-</v>
      </c>
      <c r="I42" s="43" t="str">
        <f t="shared" si="19"/>
        <v>-</v>
      </c>
      <c r="J42" s="43" t="str">
        <f t="shared" si="19"/>
        <v>-</v>
      </c>
      <c r="K42" s="43" t="str">
        <f t="shared" si="19"/>
        <v>-</v>
      </c>
      <c r="L42" s="43" t="str">
        <f t="shared" si="19"/>
        <v>-</v>
      </c>
      <c r="M42" s="76"/>
      <c r="N42" s="77"/>
      <c r="O42" s="46"/>
      <c r="P42" s="45"/>
      <c r="Q42" s="78" t="str">
        <f t="shared" si="18"/>
        <v/>
      </c>
      <c r="R42" s="79"/>
      <c r="S42" s="2" t="str">
        <f t="shared" si="8"/>
        <v/>
      </c>
      <c r="T42" s="47" t="str">
        <f t="shared" si="9"/>
        <v/>
      </c>
      <c r="U42" s="47" t="str">
        <f t="shared" si="10"/>
        <v/>
      </c>
      <c r="V42" s="48" t="str">
        <f t="shared" si="11"/>
        <v/>
      </c>
      <c r="W42" s="3" t="str">
        <f t="shared" si="12"/>
        <v/>
      </c>
      <c r="AA42" s="1" t="str">
        <f t="shared" si="13"/>
        <v/>
      </c>
      <c r="AB42" s="1" t="str">
        <f t="shared" si="14"/>
        <v/>
      </c>
      <c r="AC42" s="1" t="str">
        <f t="shared" si="15"/>
        <v/>
      </c>
      <c r="AD42" s="1" t="str">
        <f t="shared" si="16"/>
        <v>ok</v>
      </c>
      <c r="AZ42" s="1">
        <f t="shared" si="2"/>
        <v>42</v>
      </c>
    </row>
    <row r="43" spans="1:52" x14ac:dyDescent="0.3">
      <c r="A43" s="23" t="str">
        <f t="shared" si="17"/>
        <v>-</v>
      </c>
      <c r="B43" s="22" t="str">
        <f t="shared" si="5"/>
        <v>-</v>
      </c>
      <c r="C43" s="80" t="str">
        <f t="shared" si="6"/>
        <v>-</v>
      </c>
      <c r="D43" s="81"/>
      <c r="E43" s="82"/>
      <c r="F43" s="42"/>
      <c r="G43" s="43" t="str">
        <f t="shared" ref="G43:L53" si="20">IF($A43="","",IF(OR($C43=IF(_JAZYK&lt;&gt;"en","svátek","holiday"),EXACT($F43,"D"),EXACT($F43,"N"),EXACT($F43,"T"),EXACT($F43,"O"),EXACT($F43,"-")),"-",IF(ISNA(VLOOKUP($B43,$F$2:$L$6,G$16,FALSE))=TRUE,"-",IF(ISBLANK(VLOOKUP($B43,$F$2:$L$6,G$16,FALSE)),"-",VLOOKUP($B43,$F$2:$L$6,G$16,FALSE)))))</f>
        <v>-</v>
      </c>
      <c r="H43" s="43" t="str">
        <f t="shared" si="20"/>
        <v>-</v>
      </c>
      <c r="I43" s="43" t="str">
        <f t="shared" si="20"/>
        <v>-</v>
      </c>
      <c r="J43" s="43" t="str">
        <f t="shared" si="20"/>
        <v>-</v>
      </c>
      <c r="K43" s="43" t="str">
        <f t="shared" si="20"/>
        <v>-</v>
      </c>
      <c r="L43" s="43" t="str">
        <f t="shared" si="20"/>
        <v>-</v>
      </c>
      <c r="M43" s="76"/>
      <c r="N43" s="77"/>
      <c r="O43" s="46"/>
      <c r="P43" s="45"/>
      <c r="Q43" s="78" t="str">
        <f t="shared" si="18"/>
        <v/>
      </c>
      <c r="R43" s="79"/>
      <c r="S43" s="2" t="str">
        <f t="shared" si="8"/>
        <v/>
      </c>
      <c r="T43" s="47" t="str">
        <f t="shared" si="9"/>
        <v/>
      </c>
      <c r="U43" s="47" t="str">
        <f t="shared" si="10"/>
        <v/>
      </c>
      <c r="V43" s="48" t="str">
        <f t="shared" si="11"/>
        <v/>
      </c>
      <c r="W43" s="3" t="str">
        <f t="shared" si="12"/>
        <v/>
      </c>
      <c r="AA43" s="1" t="str">
        <f t="shared" si="13"/>
        <v/>
      </c>
      <c r="AB43" s="1" t="str">
        <f t="shared" si="14"/>
        <v/>
      </c>
      <c r="AC43" s="1" t="str">
        <f t="shared" si="15"/>
        <v/>
      </c>
      <c r="AD43" s="1" t="str">
        <f t="shared" si="16"/>
        <v>ok</v>
      </c>
      <c r="AZ43" s="1">
        <f t="shared" si="2"/>
        <v>43</v>
      </c>
    </row>
    <row r="44" spans="1:52" x14ac:dyDescent="0.3">
      <c r="A44" s="23" t="str">
        <f t="shared" si="17"/>
        <v>-</v>
      </c>
      <c r="B44" s="22" t="str">
        <f t="shared" si="5"/>
        <v>-</v>
      </c>
      <c r="C44" s="80" t="str">
        <f t="shared" si="6"/>
        <v>-</v>
      </c>
      <c r="D44" s="81"/>
      <c r="E44" s="82"/>
      <c r="F44" s="42"/>
      <c r="G44" s="43" t="str">
        <f t="shared" si="20"/>
        <v>-</v>
      </c>
      <c r="H44" s="43" t="str">
        <f t="shared" si="20"/>
        <v>-</v>
      </c>
      <c r="I44" s="43" t="str">
        <f t="shared" si="20"/>
        <v>-</v>
      </c>
      <c r="J44" s="43" t="str">
        <f t="shared" si="20"/>
        <v>-</v>
      </c>
      <c r="K44" s="43" t="str">
        <f t="shared" si="20"/>
        <v>-</v>
      </c>
      <c r="L44" s="43" t="str">
        <f t="shared" si="20"/>
        <v>-</v>
      </c>
      <c r="M44" s="76"/>
      <c r="N44" s="77"/>
      <c r="O44" s="46"/>
      <c r="P44" s="45"/>
      <c r="Q44" s="78" t="str">
        <f t="shared" si="18"/>
        <v/>
      </c>
      <c r="R44" s="79"/>
      <c r="S44" s="2" t="str">
        <f t="shared" si="8"/>
        <v/>
      </c>
      <c r="T44" s="47" t="str">
        <f t="shared" si="9"/>
        <v/>
      </c>
      <c r="U44" s="47" t="str">
        <f t="shared" si="10"/>
        <v/>
      </c>
      <c r="V44" s="48" t="str">
        <f t="shared" si="11"/>
        <v/>
      </c>
      <c r="W44" s="3" t="str">
        <f t="shared" si="12"/>
        <v/>
      </c>
      <c r="AA44" s="1" t="str">
        <f t="shared" si="13"/>
        <v/>
      </c>
      <c r="AB44" s="1" t="str">
        <f t="shared" si="14"/>
        <v/>
      </c>
      <c r="AC44" s="1" t="str">
        <f t="shared" si="15"/>
        <v/>
      </c>
      <c r="AD44" s="1" t="str">
        <f t="shared" si="16"/>
        <v>ok</v>
      </c>
      <c r="AZ44" s="1">
        <f t="shared" si="2"/>
        <v>44</v>
      </c>
    </row>
    <row r="45" spans="1:52" x14ac:dyDescent="0.3">
      <c r="A45" s="23" t="str">
        <f t="shared" si="17"/>
        <v>-</v>
      </c>
      <c r="B45" s="22" t="str">
        <f t="shared" si="5"/>
        <v>-</v>
      </c>
      <c r="C45" s="80" t="str">
        <f t="shared" si="6"/>
        <v>-</v>
      </c>
      <c r="D45" s="81"/>
      <c r="E45" s="82"/>
      <c r="F45" s="42"/>
      <c r="G45" s="43" t="str">
        <f t="shared" si="20"/>
        <v>-</v>
      </c>
      <c r="H45" s="43" t="str">
        <f t="shared" si="20"/>
        <v>-</v>
      </c>
      <c r="I45" s="43" t="str">
        <f t="shared" si="20"/>
        <v>-</v>
      </c>
      <c r="J45" s="43" t="str">
        <f t="shared" si="20"/>
        <v>-</v>
      </c>
      <c r="K45" s="43" t="str">
        <f t="shared" si="20"/>
        <v>-</v>
      </c>
      <c r="L45" s="43" t="str">
        <f t="shared" si="20"/>
        <v>-</v>
      </c>
      <c r="M45" s="76"/>
      <c r="N45" s="77"/>
      <c r="O45" s="44"/>
      <c r="P45" s="45"/>
      <c r="Q45" s="78" t="str">
        <f t="shared" si="18"/>
        <v/>
      </c>
      <c r="R45" s="79"/>
      <c r="S45" s="2" t="str">
        <f t="shared" si="8"/>
        <v/>
      </c>
      <c r="T45" s="47" t="str">
        <f t="shared" si="9"/>
        <v/>
      </c>
      <c r="U45" s="47" t="str">
        <f t="shared" si="10"/>
        <v/>
      </c>
      <c r="V45" s="48" t="str">
        <f t="shared" si="11"/>
        <v/>
      </c>
      <c r="W45" s="3" t="str">
        <f t="shared" si="12"/>
        <v/>
      </c>
      <c r="AA45" s="1" t="str">
        <f t="shared" si="13"/>
        <v/>
      </c>
      <c r="AB45" s="1" t="str">
        <f t="shared" si="14"/>
        <v/>
      </c>
      <c r="AC45" s="1" t="str">
        <f t="shared" si="15"/>
        <v/>
      </c>
      <c r="AD45" s="1" t="str">
        <f t="shared" si="16"/>
        <v>ok</v>
      </c>
      <c r="AZ45" s="1">
        <f t="shared" si="2"/>
        <v>45</v>
      </c>
    </row>
    <row r="46" spans="1:52" x14ac:dyDescent="0.3">
      <c r="A46" s="23" t="str">
        <f t="shared" si="17"/>
        <v>-</v>
      </c>
      <c r="B46" s="22" t="str">
        <f t="shared" si="5"/>
        <v>-</v>
      </c>
      <c r="C46" s="80" t="str">
        <f t="shared" si="6"/>
        <v>-</v>
      </c>
      <c r="D46" s="81"/>
      <c r="E46" s="82"/>
      <c r="F46" s="42"/>
      <c r="G46" s="43" t="str">
        <f t="shared" si="20"/>
        <v>-</v>
      </c>
      <c r="H46" s="43" t="str">
        <f t="shared" si="20"/>
        <v>-</v>
      </c>
      <c r="I46" s="43" t="str">
        <f t="shared" si="20"/>
        <v>-</v>
      </c>
      <c r="J46" s="43" t="str">
        <f t="shared" si="20"/>
        <v>-</v>
      </c>
      <c r="K46" s="43" t="str">
        <f t="shared" si="20"/>
        <v>-</v>
      </c>
      <c r="L46" s="43" t="str">
        <f t="shared" si="20"/>
        <v>-</v>
      </c>
      <c r="M46" s="76"/>
      <c r="N46" s="77"/>
      <c r="O46" s="46"/>
      <c r="P46" s="45"/>
      <c r="Q46" s="78" t="str">
        <f t="shared" si="18"/>
        <v/>
      </c>
      <c r="R46" s="79"/>
      <c r="S46" s="2" t="str">
        <f t="shared" si="8"/>
        <v/>
      </c>
      <c r="T46" s="47" t="str">
        <f t="shared" si="9"/>
        <v/>
      </c>
      <c r="U46" s="47" t="str">
        <f t="shared" si="10"/>
        <v/>
      </c>
      <c r="V46" s="48" t="str">
        <f t="shared" si="11"/>
        <v/>
      </c>
      <c r="W46" s="3" t="str">
        <f t="shared" si="12"/>
        <v/>
      </c>
      <c r="AA46" s="1" t="str">
        <f t="shared" si="13"/>
        <v/>
      </c>
      <c r="AB46" s="1" t="str">
        <f t="shared" si="14"/>
        <v/>
      </c>
      <c r="AC46" s="1" t="str">
        <f t="shared" si="15"/>
        <v/>
      </c>
      <c r="AD46" s="1" t="str">
        <f t="shared" si="16"/>
        <v>ok</v>
      </c>
      <c r="AZ46" s="1">
        <f t="shared" si="2"/>
        <v>46</v>
      </c>
    </row>
    <row r="47" spans="1:52" x14ac:dyDescent="0.3">
      <c r="A47" s="23" t="str">
        <f t="shared" si="17"/>
        <v>-</v>
      </c>
      <c r="B47" s="22" t="str">
        <f t="shared" si="5"/>
        <v>-</v>
      </c>
      <c r="C47" s="80" t="str">
        <f t="shared" si="6"/>
        <v>-</v>
      </c>
      <c r="D47" s="81"/>
      <c r="E47" s="82"/>
      <c r="F47" s="42"/>
      <c r="G47" s="43" t="str">
        <f t="shared" si="20"/>
        <v>-</v>
      </c>
      <c r="H47" s="43" t="str">
        <f t="shared" si="20"/>
        <v>-</v>
      </c>
      <c r="I47" s="43" t="str">
        <f t="shared" si="20"/>
        <v>-</v>
      </c>
      <c r="J47" s="43" t="str">
        <f t="shared" si="20"/>
        <v>-</v>
      </c>
      <c r="K47" s="43" t="str">
        <f t="shared" si="20"/>
        <v>-</v>
      </c>
      <c r="L47" s="43" t="str">
        <f t="shared" si="20"/>
        <v>-</v>
      </c>
      <c r="M47" s="76"/>
      <c r="N47" s="77"/>
      <c r="O47" s="46"/>
      <c r="P47" s="45"/>
      <c r="Q47" s="78" t="str">
        <f t="shared" si="18"/>
        <v/>
      </c>
      <c r="R47" s="79"/>
      <c r="S47" s="2" t="str">
        <f t="shared" si="8"/>
        <v/>
      </c>
      <c r="T47" s="47" t="str">
        <f t="shared" si="9"/>
        <v/>
      </c>
      <c r="U47" s="47" t="str">
        <f t="shared" si="10"/>
        <v/>
      </c>
      <c r="V47" s="48" t="str">
        <f t="shared" si="11"/>
        <v/>
      </c>
      <c r="W47" s="3" t="str">
        <f t="shared" si="12"/>
        <v/>
      </c>
      <c r="AA47" s="1" t="str">
        <f t="shared" si="13"/>
        <v/>
      </c>
      <c r="AB47" s="1" t="str">
        <f t="shared" si="14"/>
        <v/>
      </c>
      <c r="AC47" s="1" t="str">
        <f t="shared" si="15"/>
        <v/>
      </c>
      <c r="AD47" s="1" t="str">
        <f t="shared" si="16"/>
        <v>ok</v>
      </c>
      <c r="AZ47" s="1">
        <f t="shared" si="2"/>
        <v>47</v>
      </c>
    </row>
    <row r="48" spans="1:52" x14ac:dyDescent="0.3">
      <c r="A48" s="23" t="str">
        <f t="shared" si="17"/>
        <v>-</v>
      </c>
      <c r="B48" s="22" t="str">
        <f t="shared" si="5"/>
        <v>-</v>
      </c>
      <c r="C48" s="80" t="str">
        <f t="shared" si="6"/>
        <v>-</v>
      </c>
      <c r="D48" s="81"/>
      <c r="E48" s="82"/>
      <c r="F48" s="42"/>
      <c r="G48" s="43" t="str">
        <f t="shared" si="20"/>
        <v>-</v>
      </c>
      <c r="H48" s="43" t="str">
        <f t="shared" si="20"/>
        <v>-</v>
      </c>
      <c r="I48" s="43" t="str">
        <f t="shared" si="20"/>
        <v>-</v>
      </c>
      <c r="J48" s="43" t="str">
        <f t="shared" si="20"/>
        <v>-</v>
      </c>
      <c r="K48" s="43" t="str">
        <f t="shared" si="20"/>
        <v>-</v>
      </c>
      <c r="L48" s="43" t="str">
        <f t="shared" si="20"/>
        <v>-</v>
      </c>
      <c r="M48" s="76"/>
      <c r="N48" s="77"/>
      <c r="O48" s="44"/>
      <c r="P48" s="45"/>
      <c r="Q48" s="78" t="str">
        <f t="shared" si="18"/>
        <v/>
      </c>
      <c r="R48" s="79"/>
      <c r="S48" s="2" t="str">
        <f t="shared" si="8"/>
        <v/>
      </c>
      <c r="T48" s="47" t="str">
        <f t="shared" si="9"/>
        <v/>
      </c>
      <c r="U48" s="47" t="str">
        <f t="shared" si="10"/>
        <v/>
      </c>
      <c r="V48" s="48" t="str">
        <f t="shared" si="11"/>
        <v/>
      </c>
      <c r="W48" s="3" t="str">
        <f t="shared" si="12"/>
        <v/>
      </c>
      <c r="AA48" s="1" t="str">
        <f t="shared" si="13"/>
        <v/>
      </c>
      <c r="AB48" s="1" t="str">
        <f t="shared" si="14"/>
        <v/>
      </c>
      <c r="AC48" s="1" t="str">
        <f t="shared" si="15"/>
        <v/>
      </c>
      <c r="AD48" s="1" t="str">
        <f t="shared" si="16"/>
        <v>ok</v>
      </c>
      <c r="AZ48" s="1">
        <f t="shared" si="2"/>
        <v>48</v>
      </c>
    </row>
    <row r="49" spans="1:52" x14ac:dyDescent="0.3">
      <c r="A49" s="23" t="str">
        <f t="shared" si="17"/>
        <v>-</v>
      </c>
      <c r="B49" s="22" t="str">
        <f t="shared" si="5"/>
        <v>-</v>
      </c>
      <c r="C49" s="80" t="str">
        <f t="shared" si="6"/>
        <v>-</v>
      </c>
      <c r="D49" s="81"/>
      <c r="E49" s="82"/>
      <c r="F49" s="42"/>
      <c r="G49" s="43" t="str">
        <f t="shared" si="20"/>
        <v>-</v>
      </c>
      <c r="H49" s="43" t="str">
        <f t="shared" si="20"/>
        <v>-</v>
      </c>
      <c r="I49" s="43" t="str">
        <f t="shared" si="20"/>
        <v>-</v>
      </c>
      <c r="J49" s="43" t="str">
        <f t="shared" si="20"/>
        <v>-</v>
      </c>
      <c r="K49" s="43" t="str">
        <f t="shared" si="20"/>
        <v>-</v>
      </c>
      <c r="L49" s="43" t="str">
        <f t="shared" si="20"/>
        <v>-</v>
      </c>
      <c r="M49" s="76"/>
      <c r="N49" s="77"/>
      <c r="O49" s="46"/>
      <c r="P49" s="45"/>
      <c r="Q49" s="78" t="str">
        <f t="shared" si="18"/>
        <v/>
      </c>
      <c r="R49" s="79"/>
      <c r="S49" s="2" t="str">
        <f t="shared" si="8"/>
        <v/>
      </c>
      <c r="T49" s="47" t="str">
        <f t="shared" si="9"/>
        <v/>
      </c>
      <c r="U49" s="47" t="str">
        <f t="shared" si="10"/>
        <v/>
      </c>
      <c r="V49" s="48" t="str">
        <f t="shared" si="11"/>
        <v/>
      </c>
      <c r="W49" s="3" t="str">
        <f t="shared" si="12"/>
        <v/>
      </c>
      <c r="AA49" s="1" t="str">
        <f t="shared" si="13"/>
        <v/>
      </c>
      <c r="AB49" s="1" t="str">
        <f t="shared" si="14"/>
        <v/>
      </c>
      <c r="AC49" s="1" t="str">
        <f t="shared" si="15"/>
        <v/>
      </c>
      <c r="AD49" s="1" t="str">
        <f t="shared" si="16"/>
        <v>ok</v>
      </c>
      <c r="AZ49" s="1">
        <f t="shared" si="2"/>
        <v>49</v>
      </c>
    </row>
    <row r="50" spans="1:52" x14ac:dyDescent="0.3">
      <c r="A50" s="23" t="str">
        <f t="shared" si="17"/>
        <v>-</v>
      </c>
      <c r="B50" s="22" t="str">
        <f t="shared" si="5"/>
        <v>-</v>
      </c>
      <c r="C50" s="80" t="str">
        <f t="shared" si="6"/>
        <v>-</v>
      </c>
      <c r="D50" s="81"/>
      <c r="E50" s="82"/>
      <c r="F50" s="42"/>
      <c r="G50" s="43" t="str">
        <f t="shared" si="20"/>
        <v>-</v>
      </c>
      <c r="H50" s="43" t="str">
        <f t="shared" si="20"/>
        <v>-</v>
      </c>
      <c r="I50" s="43" t="str">
        <f t="shared" si="20"/>
        <v>-</v>
      </c>
      <c r="J50" s="43" t="str">
        <f t="shared" si="20"/>
        <v>-</v>
      </c>
      <c r="K50" s="43" t="str">
        <f t="shared" si="20"/>
        <v>-</v>
      </c>
      <c r="L50" s="43" t="str">
        <f t="shared" si="20"/>
        <v>-</v>
      </c>
      <c r="M50" s="76"/>
      <c r="N50" s="77"/>
      <c r="O50" s="46"/>
      <c r="P50" s="45"/>
      <c r="Q50" s="78" t="str">
        <f t="shared" si="18"/>
        <v/>
      </c>
      <c r="R50" s="79"/>
      <c r="S50" s="2" t="str">
        <f t="shared" si="8"/>
        <v/>
      </c>
      <c r="T50" s="47" t="str">
        <f t="shared" si="9"/>
        <v/>
      </c>
      <c r="U50" s="47" t="str">
        <f t="shared" si="10"/>
        <v/>
      </c>
      <c r="V50" s="48" t="str">
        <f t="shared" si="11"/>
        <v/>
      </c>
      <c r="W50" s="3" t="str">
        <f t="shared" si="12"/>
        <v/>
      </c>
      <c r="AA50" s="1" t="str">
        <f t="shared" si="13"/>
        <v/>
      </c>
      <c r="AB50" s="1" t="str">
        <f t="shared" si="14"/>
        <v/>
      </c>
      <c r="AC50" s="1" t="str">
        <f t="shared" si="15"/>
        <v/>
      </c>
      <c r="AD50" s="1" t="str">
        <f t="shared" si="16"/>
        <v>ok</v>
      </c>
      <c r="AZ50" s="1">
        <f t="shared" si="2"/>
        <v>50</v>
      </c>
    </row>
    <row r="51" spans="1:52" x14ac:dyDescent="0.3">
      <c r="A51" s="23" t="str">
        <f>IF(A50="-","-",IF(MONTH(A50+1)=MONTH(A50),A50+1,"-"))</f>
        <v>-</v>
      </c>
      <c r="B51" s="22" t="str">
        <f t="shared" si="5"/>
        <v>-</v>
      </c>
      <c r="C51" s="80" t="str">
        <f t="shared" si="6"/>
        <v>-</v>
      </c>
      <c r="D51" s="81"/>
      <c r="E51" s="82"/>
      <c r="F51" s="42"/>
      <c r="G51" s="43" t="str">
        <f t="shared" si="20"/>
        <v>-</v>
      </c>
      <c r="H51" s="43" t="str">
        <f t="shared" si="20"/>
        <v>-</v>
      </c>
      <c r="I51" s="43" t="str">
        <f t="shared" si="20"/>
        <v>-</v>
      </c>
      <c r="J51" s="43" t="str">
        <f t="shared" si="20"/>
        <v>-</v>
      </c>
      <c r="K51" s="43" t="str">
        <f t="shared" si="20"/>
        <v>-</v>
      </c>
      <c r="L51" s="43" t="str">
        <f t="shared" si="20"/>
        <v>-</v>
      </c>
      <c r="M51" s="76"/>
      <c r="N51" s="77"/>
      <c r="O51" s="46"/>
      <c r="P51" s="45"/>
      <c r="Q51" s="78" t="str">
        <f t="shared" si="18"/>
        <v/>
      </c>
      <c r="R51" s="79"/>
      <c r="S51" s="2" t="str">
        <f t="shared" ref="S51:S59" si="21">+IF(LEFT(W51,1)="[","❢","")</f>
        <v/>
      </c>
      <c r="T51" s="47" t="str">
        <f t="shared" si="9"/>
        <v/>
      </c>
      <c r="U51" s="47" t="str">
        <f t="shared" si="10"/>
        <v/>
      </c>
      <c r="V51" s="48" t="str">
        <f t="shared" si="11"/>
        <v/>
      </c>
      <c r="W51" s="3" t="str">
        <f t="shared" si="12"/>
        <v/>
      </c>
      <c r="AA51" s="1" t="str">
        <f t="shared" si="13"/>
        <v/>
      </c>
      <c r="AB51" s="1" t="str">
        <f t="shared" si="14"/>
        <v/>
      </c>
      <c r="AC51" s="1" t="str">
        <f t="shared" si="15"/>
        <v/>
      </c>
      <c r="AD51" s="1" t="str">
        <f t="shared" si="16"/>
        <v>ok</v>
      </c>
      <c r="AZ51" s="1">
        <f t="shared" si="2"/>
        <v>51</v>
      </c>
    </row>
    <row r="52" spans="1:52" x14ac:dyDescent="0.3">
      <c r="A52" s="23" t="str">
        <f t="shared" ref="A52:A53" si="22">IF(A51="-","-",IF(MONTH(A51+1)=MONTH(A51),A51+1,"-"))</f>
        <v>-</v>
      </c>
      <c r="B52" s="22" t="str">
        <f t="shared" si="5"/>
        <v>-</v>
      </c>
      <c r="C52" s="80" t="str">
        <f t="shared" si="6"/>
        <v>-</v>
      </c>
      <c r="D52" s="81"/>
      <c r="E52" s="82"/>
      <c r="F52" s="42"/>
      <c r="G52" s="43" t="str">
        <f t="shared" si="20"/>
        <v>-</v>
      </c>
      <c r="H52" s="43" t="str">
        <f t="shared" si="20"/>
        <v>-</v>
      </c>
      <c r="I52" s="43" t="str">
        <f t="shared" si="20"/>
        <v>-</v>
      </c>
      <c r="J52" s="43" t="str">
        <f t="shared" si="20"/>
        <v>-</v>
      </c>
      <c r="K52" s="43" t="str">
        <f t="shared" si="20"/>
        <v>-</v>
      </c>
      <c r="L52" s="43" t="str">
        <f t="shared" si="20"/>
        <v>-</v>
      </c>
      <c r="M52" s="76"/>
      <c r="N52" s="77"/>
      <c r="O52" s="44"/>
      <c r="P52" s="45"/>
      <c r="Q52" s="78" t="str">
        <f t="shared" si="18"/>
        <v/>
      </c>
      <c r="R52" s="79"/>
      <c r="S52" s="2" t="str">
        <f t="shared" si="21"/>
        <v/>
      </c>
      <c r="T52" s="47" t="str">
        <f t="shared" si="9"/>
        <v/>
      </c>
      <c r="U52" s="47" t="str">
        <f t="shared" si="10"/>
        <v/>
      </c>
      <c r="V52" s="48" t="str">
        <f t="shared" si="11"/>
        <v/>
      </c>
      <c r="W52" s="3" t="str">
        <f t="shared" si="12"/>
        <v/>
      </c>
      <c r="AA52" s="1" t="str">
        <f t="shared" si="13"/>
        <v/>
      </c>
      <c r="AB52" s="1" t="str">
        <f t="shared" si="14"/>
        <v/>
      </c>
      <c r="AC52" s="1" t="str">
        <f t="shared" si="15"/>
        <v/>
      </c>
      <c r="AD52" s="1" t="str">
        <f t="shared" si="16"/>
        <v>ok</v>
      </c>
      <c r="AZ52" s="1">
        <f t="shared" si="2"/>
        <v>52</v>
      </c>
    </row>
    <row r="53" spans="1:52" x14ac:dyDescent="0.3">
      <c r="A53" s="23" t="str">
        <f t="shared" si="22"/>
        <v>-</v>
      </c>
      <c r="B53" s="22" t="str">
        <f t="shared" si="5"/>
        <v>-</v>
      </c>
      <c r="C53" s="80" t="str">
        <f t="shared" si="6"/>
        <v>-</v>
      </c>
      <c r="D53" s="81"/>
      <c r="E53" s="82"/>
      <c r="F53" s="42"/>
      <c r="G53" s="43" t="str">
        <f t="shared" si="20"/>
        <v>-</v>
      </c>
      <c r="H53" s="43" t="str">
        <f t="shared" si="20"/>
        <v>-</v>
      </c>
      <c r="I53" s="43" t="str">
        <f t="shared" si="20"/>
        <v>-</v>
      </c>
      <c r="J53" s="43" t="str">
        <f t="shared" si="20"/>
        <v>-</v>
      </c>
      <c r="K53" s="43" t="str">
        <f t="shared" si="20"/>
        <v>-</v>
      </c>
      <c r="L53" s="43" t="str">
        <f t="shared" si="20"/>
        <v>-</v>
      </c>
      <c r="M53" s="76"/>
      <c r="N53" s="77"/>
      <c r="O53" s="46"/>
      <c r="P53" s="45"/>
      <c r="Q53" s="78" t="str">
        <f t="shared" si="18"/>
        <v/>
      </c>
      <c r="R53" s="79"/>
      <c r="S53" s="2" t="str">
        <f t="shared" si="21"/>
        <v/>
      </c>
      <c r="T53" s="47" t="str">
        <f t="shared" si="9"/>
        <v/>
      </c>
      <c r="U53" s="47" t="str">
        <f t="shared" si="10"/>
        <v/>
      </c>
      <c r="V53" s="48" t="str">
        <f>IF(OR(T53="",U53=""),"",
IF(INT((T53)*24*60)&gt;INT((U53)*24*60),"+"&amp;DAY(T53-U53)*24+HOUR(T53-U53)&amp;":"&amp;TEXT(MINUTE(T53-U53),"00"),
IF(INT((T53)*24*60)=INT((U53)*24*60)," 0:00",
"-"&amp;DAY(U53-T53)*24+HOUR(U53-T53)&amp;":"&amp;TEXT(MINUTE(U53-T53),"00"))))</f>
        <v/>
      </c>
      <c r="W53" s="3" t="str">
        <f t="shared" si="12"/>
        <v/>
      </c>
      <c r="AA53" s="1" t="str">
        <f t="shared" si="13"/>
        <v/>
      </c>
      <c r="AB53" s="1" t="str">
        <f t="shared" si="14"/>
        <v/>
      </c>
      <c r="AC53" s="1" t="str">
        <f t="shared" si="15"/>
        <v/>
      </c>
      <c r="AD53" s="1" t="str">
        <f t="shared" si="16"/>
        <v>ok</v>
      </c>
      <c r="AZ53" s="1">
        <f t="shared" si="2"/>
        <v>53</v>
      </c>
    </row>
    <row r="54" spans="1:52" x14ac:dyDescent="0.3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104" t="str">
        <f>IF(_JAZYK&lt;&gt;"en","Celkem","Total")</f>
        <v>Celkem</v>
      </c>
      <c r="P54" s="104"/>
      <c r="Q54" s="110">
        <f>SUM(Q23:R53)</f>
        <v>0</v>
      </c>
      <c r="R54" s="110"/>
      <c r="S54" s="2" t="str">
        <f t="shared" si="21"/>
        <v/>
      </c>
      <c r="T54" s="49">
        <f t="shared" ref="T54:U54" si="23">SUM(T23:T53)</f>
        <v>0</v>
      </c>
      <c r="U54" s="49">
        <f t="shared" si="23"/>
        <v>0</v>
      </c>
      <c r="V54" s="49" t="str">
        <f>IF(OR(T54="",U54=""),"",
IF(INT((T54)*24*60)&gt;INT((U54)*24*60),"+"&amp;DAY(T54-U54)*24+HOUR(T54-U54)&amp;":"&amp;TEXT(MINUTE(T54-U54),"00"),
IF(INT((T54)*24*60)=INT((U54)*24*60)," 0:00",
"-"&amp;DAY(U54-T54)*24+HOUR(U54-T54)&amp;":"&amp;TEXT(MINUTE(U54-T54),"00"))))</f>
        <v xml:space="preserve"> 0:00</v>
      </c>
      <c r="W54" s="3" t="str">
        <f t="shared" si="12"/>
        <v/>
      </c>
      <c r="X54" s="6"/>
      <c r="AZ54" s="1">
        <f t="shared" si="2"/>
        <v>54</v>
      </c>
    </row>
    <row r="55" spans="1:52" x14ac:dyDescent="0.3">
      <c r="A55" s="103" t="str">
        <f>+IF(OR(UPPER(_AKADEMIK)="NE",UPPER(_AKADEMIK)="NO",_AKADEMIK="",_DRUH_PV="DPP",_DRUH_PV="DPČ",_DRUH_PV=""),"",IF(_JAZYK&lt;&gt;"en","Počet nerozvrhovaných hodin v měsíci odpracovaných akademickým pracovníkem mimo pracoviště","The number of unscheduled hours in a month worked by an academic worker away from the workplace"))</f>
        <v/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90"/>
      <c r="Q55" s="109" t="str">
        <f>IF(OR(UPPER(_AKADEMIK)="NE",UPPER(_AKADEMIK)="NO",_AKADEMIK="",_DRUH_PV="DPP",_DRUH_PV="DPČ",_DRUH_PV=""),"",IF(ROUND((_UVAZEK_HOD_MES)*24*60,0)&lt;ROUND((Q54+Q57)*24*60,0),0,ROUND(_UVAZEK_HOD_MES-Q54-Q57,10)))</f>
        <v/>
      </c>
      <c r="R55" s="109"/>
      <c r="S55" s="2" t="str">
        <f t="shared" si="21"/>
        <v/>
      </c>
      <c r="T55" s="20" t="b">
        <f>IF(ISERR(SEARCH(":",DAY(Q55)*24+HOUR(Q55)&amp;":"&amp;TEXT(MINUTE(Q55),"00"))),FALSE,IF(NOT(ISNUMBER(1*LEFT(DAY(Q55)*24+HOUR(Q55)&amp;":"&amp;TEXT(MINUTE(Q55),"00"),SEARCH(":",DAY(Q55)*24+HOUR(Q55)&amp;":"&amp;TEXT(MINUTE(Q55),"00"))-1))),FALSE,IF(NOT(ISNUMBER(1*MID(DAY(Q55)*24+HOUR(Q55)&amp;":"&amp;TEXT(MINUTE(Q55),"00"),SEARCH(":",DAY(Q55)*24+HOUR(Q55)&amp;":"&amp;TEXT(MINUTE(Q55),"00"))+1,LEN(DAY(Q55)*24+HOUR(Q55)&amp;":"&amp;TEXT(MINUTE(Q55),"00"))))),FALSE,TRUE)))</f>
        <v>0</v>
      </c>
      <c r="W55" s="3" t="str">
        <f t="shared" ref="W55:W59" si="24">+IF(AA55&lt;&gt;"ok",AA55,"")&amp;IF(AB55&lt;&gt;"ok",AB55,"")&amp;IF(AC55&lt;&gt;"ok",AC55,"")&amp;IF(AD55&lt;&gt;"ok",AD55,"")</f>
        <v/>
      </c>
      <c r="X55" s="6"/>
      <c r="AA55" s="1" t="str">
        <f>IF(Q55="","",IF(AND(Q55&gt;0,OR(UPPER(_AKADEMIK)="NE",UPPER(_AKADEMIK)="NO")),IF(_JAZYK&lt;&gt;"en","[u neakademika se nevyplňují nerozvrhované hodiny - nutné vymazat] ","[non-scheduled lessons are not filled in - must be deleted] "),"ok"))</f>
        <v/>
      </c>
      <c r="AZ55" s="1">
        <f t="shared" si="2"/>
        <v>55</v>
      </c>
    </row>
    <row r="56" spans="1:52" x14ac:dyDescent="0.3">
      <c r="A56" s="102" t="str">
        <f>IF(_JAZYK&lt;&gt;"en","Odpracováno celkem hodin","Hours worked")</f>
        <v>Odpracováno celkem hodin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8">
        <f>IF(OR(UPPER(_AKADEMIK)="NE",UPPER(_AKADEMIK)="NO",_AKADEMIK="",_DRUH_PV="DPP",_DRUH_PV="DPČ",_DRUH_PV=""),0,Q55)+Q54</f>
        <v>0</v>
      </c>
      <c r="R56" s="108"/>
      <c r="S56" s="2" t="str">
        <f t="shared" si="21"/>
        <v/>
      </c>
      <c r="W56" s="3" t="str">
        <f t="shared" si="24"/>
        <v/>
      </c>
      <c r="X56" s="6"/>
      <c r="AZ56" s="1">
        <f t="shared" si="2"/>
        <v>56</v>
      </c>
    </row>
    <row r="57" spans="1:52" x14ac:dyDescent="0.3">
      <c r="A57" s="103" t="str">
        <f>+IF(OR(_DRUH_PV="DPP",_DRUH_PV="DPČ"),"",IF(_JAZYK&lt;&gt;"en","Neodpracováno celkem hodin (dovolená, pracovní neschopnost, ostatní)","Total hours not worked (holidays, incapacity for work, other)"))</f>
        <v>Neodpracováno celkem hodin (dovolená, pracovní neschopnost, ostatní)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7">
        <f>IF(OR(_DRUH_PV="DPP",_DRUH_PV="DPČ"),"",IF(ROUND((_UVAZEK_HOD_MES)*24*60,0)&lt;ROUND((U54)*24*60,0),0,ROUND(_UVAZEK_HOD_MES-U54,10)))</f>
        <v>0</v>
      </c>
      <c r="R57" s="107"/>
      <c r="S57" s="2" t="str">
        <f t="shared" si="21"/>
        <v/>
      </c>
      <c r="W57" s="3" t="str">
        <f t="shared" si="24"/>
        <v/>
      </c>
      <c r="X57" s="6"/>
      <c r="AZ57" s="1">
        <f t="shared" si="2"/>
        <v>57</v>
      </c>
    </row>
    <row r="58" spans="1:52" x14ac:dyDescent="0.3">
      <c r="A58" s="102" t="str">
        <f>+IF(OR(_DRUH_PV="DPP",_DRUH_PV="DPČ"),"",IF(_JAZYK&lt;&gt;"en","Odpracováno celkem + neodpracováno celkem","Total worked + not worked total"))</f>
        <v>Odpracováno celkem + neodpracováno celkem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8">
        <f>+IF(OR(_DRUH_PV="DPP",_DRUH_PV="DPČ"),"",Q57+Q56)</f>
        <v>0</v>
      </c>
      <c r="R58" s="108"/>
      <c r="S58" s="2" t="str">
        <f t="shared" si="21"/>
        <v/>
      </c>
      <c r="W58" s="3" t="str">
        <f t="shared" si="24"/>
        <v/>
      </c>
      <c r="X58" s="6"/>
      <c r="AZ58" s="1">
        <f t="shared" si="2"/>
        <v>58</v>
      </c>
    </row>
    <row r="59" spans="1:52" x14ac:dyDescent="0.3">
      <c r="A59" s="103" t="str">
        <f>IF(OR(_DRUH_PV="DPP",_DRUH_PV="DPČ"),"","FPD ("&amp;(DAY(_UVAZEK_HOD_MES)*24+HOUR(_UVAZEK_HOD_MES)&amp;":"&amp;TEXT(MINUTE(_UVAZEK_HOD_MES),"00"))&amp;")"&amp;IF(OR(UPPER(_AKADEMIK)="ANO",UPPER(_AKADEMIK)="YES",_AKADEMIK=""),"",IF(_JAZYK&lt;&gt;"en"," se započtením 'salda hodin za předchozí měsíc' ("," plus 'previous hours' balance (")&amp;IF(_NV_MIN_MES_ZNAM="-","-",IF(_NV_MIN_MES_ZNAM="","+","+"))&amp;(DAY(_NV_MIN_MES)*24+HOUR(_NV_MIN_MES)&amp;":"&amp;TEXT(MINUTE(_NV_MIN_MES),"00"))&amp;")")&amp;IF(_JAZYK&lt;&gt;"en",", tj. k odpracování celkem",", ie. total working hours"))</f>
        <v>FPD (0:00), tj. k odpracování celkem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9">
        <f>IF(AND(OR(_DRUH_PV="DPP",_DRUH_PV="DPČ"),OR(ISBLANK(_UVAZEK_HOD_TYD),_UVAZEK_HOD_TYD="")),"",IF(OR(ISBLANK(_ROK),ISBLANK(_MESIC)),0,IF(OR(UPPER(_AKADEMIK)="ANO",UPPER(_AKADEMIK)="YES",_AKADEMIK=""),_UVAZEK_HOD_MES,IF((_UVAZEK_HOD_MES+(-1*VALUE(_NV_MIN_MES_ZNAM&amp;"1")*_NV_MIN_MES))&lt;0,0,_UVAZEK_HOD_MES+(-1*VALUE(_NV_MIN_MES_ZNAM&amp;"1")*_NV_MIN_MES)))))</f>
        <v>0</v>
      </c>
      <c r="R59" s="109"/>
      <c r="S59" s="2" t="str">
        <f t="shared" si="21"/>
        <v/>
      </c>
      <c r="W59" s="3" t="str">
        <f t="shared" si="24"/>
        <v/>
      </c>
      <c r="X59" s="6"/>
      <c r="AZ59" s="1">
        <f t="shared" si="2"/>
        <v>59</v>
      </c>
    </row>
    <row r="60" spans="1:52" ht="14.4" customHeight="1" x14ac:dyDescent="0.3">
      <c r="A60" s="118" t="str">
        <f>IF(OR(_DRUH_PV="DPP",_DRUH_PV="DPČ"),"",IF(OR(ISBLANK(_ROK),ISBLANK(_MESIC)),"",IF(_JAZYK&lt;&gt;"en","Rozdíl 'odpracováno+neodpracováno' (","Difference 'worked + unworked' (")&amp;(DAY(Q58)*24+HOUR(Q58)&amp;":"&amp;TEXT(MINUTE(Q58),"00"))&amp;IF(_JAZYK&lt;&gt;"en",") vůči hodinám k odpracování (",") versus hours worked (")&amp;(DAY(Q59)*24+HOUR(Q59)&amp;":"&amp;TEXT(MINUTE(Q59),"00"))&amp;")"))</f>
        <v/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1" t="str">
        <f>IF(OR(_DRUH_PV="DPP",_DRUH_PV="DPČ"),"",
IF((ROUND((Q58+IF(OR(UPPER(_AKADEMIK)="ANO",UPPER(_AKADEMIK)="YES",_AKADEMIK=""),0,(VALUE(_NV_MIN_MES_ZNAM&amp;"1"))*(INT(_NV_MIN_MES*24*60)/24/60)))*24*60,0))&gt;ROUND((_UVAZEK_HOD_MES)*24*60,0),
"+"&amp;(DAY(ROUND(Q58+IF(OR(UPPER(_AKADEMIK)="ANO",UPPER(_AKADEMIK)="YES",_AKADEMIK=""),0,(VALUE(_NV_MIN_MES_ZNAM&amp;"1")*(INT(_NV_MIN_MES*24*60)/24/60)))-_UVAZEK_HOD_MES,10))*24+HOUR(ROUND(Q58+IF(OR(UPPER(_AKADEMIK)="ANO",UPPER(_AKADEMIK)="YES",_AKADEMIK=""),0,(VALUE(_NV_MIN_MES_ZNAM&amp;"1")*(INT(_NV_MIN_MES*24*60)/24/60)))-_UVAZEK_HOD_MES,10))&amp;":"&amp;TEXT(MINUTE(ROUND(Q58+IF(OR(UPPER(_AKADEMIK)="ANO",UPPER(_AKADEMIK)="YES",_AKADEMIK=""),0,(VALUE(_NV_MIN_MES_ZNAM&amp;"1")*(INT(_NV_MIN_MES*24*60)/24/60)))-_UVAZEK_HOD_MES,10)),"00")),
IF((ROUND((Q58+IF(OR(UPPER(_AKADEMIK)="ANO",UPPER(_AKADEMIK)="YES",_AKADEMIK=""),0,(VALUE(_NV_MIN_MES_ZNAM&amp;"1"))*(INT(_NV_MIN_MES*24*60)/24/60)))*24*60,0))=ROUND((_UVAZEK_HOD_MES)*24*60,0),
" 0:00",
"-"&amp;(DAY(ROUND(_UVAZEK_HOD_MES-Q58+IF(OR(UPPER(_AKADEMIK)="ANO",UPPER(_AKADEMIK)="YES",_AKADEMIK=""),0,(VALUE(_NV_MIN_MES_ZNAM&amp;"1")*(INT(_NV_MIN_MES*24*60)/24/60))),10))*24+HOUR(ROUND(_UVAZEK_HOD_MES-Q58+IF(OR(UPPER(_AKADEMIK)="ANO",UPPER(_AKADEMIK)="YES",_AKADEMIK=""),0,(VALUE(_NV_MIN_MES_ZNAM&amp;"1")*(INT(_NV_MIN_MES*24*60)/24/60))),10))&amp;":"&amp;TEXT(MINUTE(ROUND(_UVAZEK_HOD_MES-Q58+IF(OR(UPPER(_AKADEMIK)="ANO",UPPER(_AKADEMIK)="YES",_AKADEMIK=""),0,(VALUE(_NV_MIN_MES_ZNAM&amp;"1")*(INT(_NV_MIN_MES*24*60)/24/60))),10)),"00")))))</f>
        <v xml:space="preserve"> 0:00</v>
      </c>
      <c r="R60" s="111"/>
      <c r="S60" s="111" t="str">
        <f>IF(LEFT(TRIM(Q60),1)="0","✔",IF(LEFT(Q60,1)="-","✘",IF(LEFT(Q60,1)="+","❢","")))</f>
        <v>✔</v>
      </c>
      <c r="W60" s="105" t="str">
        <f>+IF(AA60&lt;&gt;"ok",AA60,"")&amp;IF(AB60&lt;&gt;"ok",AB60,"")&amp;IF(AC60&lt;&gt;"ok",AC60,"")&amp;IF(AD60&lt;&gt;"ok",AD60,"")</f>
        <v/>
      </c>
      <c r="X60" s="6"/>
      <c r="AA60" s="106" t="str">
        <f>+IF(LEFT(Q60,1)="-",IF(_JAZYK&lt;&gt;"en","[není vykázán celý placený fond pracovní doby] ","[not reported full paid working time fund] "),
IF(LEFT(Q60,1)="+",IF(_JAZYK&lt;&gt;"en","[vykázáno více než je celý placený fond pracovní doby] ","[reported more than the entire paid working time fund] "),"ok"))</f>
        <v>ok</v>
      </c>
      <c r="AZ60" s="1">
        <f t="shared" si="2"/>
        <v>60</v>
      </c>
    </row>
    <row r="61" spans="1:52" ht="10.199999999999999" customHeight="1" x14ac:dyDescent="0.3">
      <c r="A61" s="120" t="str">
        <f>IF(OR(_DRUH_PV="DPP",_DRUH_PV="DPČ"),"",IF(_JAZYK&lt;&gt;"en","[nula] =&gt; OK   [+] =&gt; napracováno   [-] =&gt; k napracování v dalším měsíci","[zero] =&gt; OK [+] =&gt; processed [-] =&gt; to be processed next month"))</f>
        <v>[nula] =&gt; OK   [+] =&gt; napracováno   [-] =&gt; k napracování v dalším měsíci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1"/>
      <c r="Q61" s="111"/>
      <c r="R61" s="111"/>
      <c r="S61" s="111"/>
      <c r="W61" s="105"/>
      <c r="AA61" s="106"/>
      <c r="AZ61" s="1">
        <f t="shared" si="2"/>
        <v>61</v>
      </c>
    </row>
    <row r="62" spans="1:52" x14ac:dyDescent="0.3">
      <c r="A62" s="1" t="str">
        <f>IF(_JAZYK&lt;&gt;"en","Dne","On")</f>
        <v>Dne</v>
      </c>
      <c r="B62" s="119" t="str">
        <f>IF(OR(ISBLANK(_ROK),ISBLANK(_MESIC)),"",IF(OR(DATE(_ROK+1,1,1)=WORKDAY(EOMONTH(DATE(_ROK,_MESIC,1),0),1),DATE(_ROK,5,1)=WORKDAY(EOMONTH(DATE(_ROK,_MESIC,1),0),1),((ROUND(DATE(_ROK,4,1)/7+MOD(19*MOD(_ROK,19)-7,30)*14%,0)*7-6)-2)=WORKDAY(EOMONTH(DATE(_ROK,_MESIC,1),0),1),((ROUND(DATE(_ROK,4,1)/7+MOD(19*MOD(_ROK,19)-7,30)*14%,0)*7-6)+1)=WORKDAY(EOMONTH(DATE(_ROK,_MESIC,1),0),1)),WORKDAY(WORKDAY(EOMONTH(DATE(_ROK,_MESIC,1),0),1),1),WORKDAY(EOMONTH(DATE(_ROK,_MESIC,1),0),1)))</f>
        <v/>
      </c>
      <c r="C62" s="119"/>
      <c r="D62" s="15"/>
      <c r="E62" s="15"/>
      <c r="F62" s="15"/>
      <c r="G62" s="15"/>
      <c r="H62" s="15"/>
      <c r="W62" s="3"/>
      <c r="AZ62" s="1">
        <f t="shared" si="2"/>
        <v>62</v>
      </c>
    </row>
    <row r="63" spans="1:52" x14ac:dyDescent="0.3">
      <c r="C63" s="16"/>
      <c r="D63" s="16"/>
      <c r="E63" s="16"/>
      <c r="F63" s="15"/>
      <c r="G63" s="5"/>
      <c r="H63" s="5"/>
      <c r="R63" s="53"/>
      <c r="W63" s="3"/>
      <c r="AZ63" s="1">
        <f t="shared" si="2"/>
        <v>63</v>
      </c>
    </row>
    <row r="64" spans="1:52" x14ac:dyDescent="0.3">
      <c r="C64" s="16"/>
      <c r="D64" s="16"/>
      <c r="E64" s="16"/>
      <c r="F64" s="15"/>
      <c r="G64" s="5"/>
      <c r="H64" s="5"/>
      <c r="W64" s="3"/>
      <c r="AZ64" s="1">
        <f t="shared" si="2"/>
        <v>64</v>
      </c>
    </row>
    <row r="65" spans="1:52" x14ac:dyDescent="0.3">
      <c r="C65" s="16"/>
      <c r="D65" s="16"/>
      <c r="E65" s="16"/>
      <c r="W65" s="3"/>
      <c r="AZ65" s="1">
        <f t="shared" si="2"/>
        <v>65</v>
      </c>
    </row>
    <row r="66" spans="1:52" x14ac:dyDescent="0.3">
      <c r="A66" s="122" t="str">
        <f>IF(_JAZYK&lt;&gt;"en","Verze formuláře: ","Form version: ")&amp;TEXT(200114/250,"###0,000")</f>
        <v>Verze formuláře: 800,456</v>
      </c>
      <c r="B66" s="122"/>
      <c r="C66" s="122"/>
      <c r="D66" s="122"/>
      <c r="I66" s="116" t="str">
        <f>IF(_JAZYK&lt;&gt;"en","Podpis nadřízeného","Signature of supervisor")</f>
        <v>Podpis nadřízeného</v>
      </c>
      <c r="J66" s="116"/>
      <c r="K66" s="116"/>
      <c r="L66" s="116"/>
      <c r="N66" s="117" t="str">
        <f>IF(_JAZYK&lt;&gt;"en","Podpis zaměstnance","Employee's signature")</f>
        <v>Podpis zaměstnance</v>
      </c>
      <c r="O66" s="116"/>
      <c r="P66" s="116"/>
      <c r="Q66" s="116"/>
      <c r="R66" s="116"/>
      <c r="S66" s="17"/>
      <c r="W66" s="3"/>
      <c r="AZ66" s="1">
        <f t="shared" si="2"/>
        <v>66</v>
      </c>
    </row>
    <row r="67" spans="1:52" x14ac:dyDescent="0.3">
      <c r="W67" s="3"/>
      <c r="AZ67" s="1">
        <f t="shared" ref="AZ67:AZ70" si="25">+AZ66+1</f>
        <v>67</v>
      </c>
    </row>
    <row r="68" spans="1:52" x14ac:dyDescent="0.3">
      <c r="AZ68" s="1">
        <f t="shared" si="25"/>
        <v>68</v>
      </c>
    </row>
    <row r="69" spans="1:52" x14ac:dyDescent="0.3">
      <c r="AZ69" s="1">
        <f t="shared" si="25"/>
        <v>69</v>
      </c>
    </row>
    <row r="70" spans="1:52" x14ac:dyDescent="0.3">
      <c r="AZ70" s="1">
        <f t="shared" si="25"/>
        <v>70</v>
      </c>
    </row>
  </sheetData>
  <sheetProtection sheet="1" objects="1" scenarios="1" selectLockedCells="1"/>
  <mergeCells count="172">
    <mergeCell ref="AA8:AA9"/>
    <mergeCell ref="Q30:R30"/>
    <mergeCell ref="Q29:R29"/>
    <mergeCell ref="Q28:R28"/>
    <mergeCell ref="Q27:R27"/>
    <mergeCell ref="Q26:R26"/>
    <mergeCell ref="Q23:R23"/>
    <mergeCell ref="Q33:R33"/>
    <mergeCell ref="Q32:R32"/>
    <mergeCell ref="Q31:R31"/>
    <mergeCell ref="Q20:R20"/>
    <mergeCell ref="Q21:R21"/>
    <mergeCell ref="Q22:R22"/>
    <mergeCell ref="V14:V15"/>
    <mergeCell ref="N8:P8"/>
    <mergeCell ref="N10:P10"/>
    <mergeCell ref="B6:E6"/>
    <mergeCell ref="C8:M9"/>
    <mergeCell ref="N9:P9"/>
    <mergeCell ref="Q9:R9"/>
    <mergeCell ref="G1:H1"/>
    <mergeCell ref="I1:J1"/>
    <mergeCell ref="K1:L1"/>
    <mergeCell ref="A7:M7"/>
    <mergeCell ref="A8:B9"/>
    <mergeCell ref="Q8:R8"/>
    <mergeCell ref="M1:R1"/>
    <mergeCell ref="N2:R2"/>
    <mergeCell ref="C3:D3"/>
    <mergeCell ref="C4:D4"/>
    <mergeCell ref="A2:A6"/>
    <mergeCell ref="E1:E2"/>
    <mergeCell ref="P4:Q4"/>
    <mergeCell ref="N4:O4"/>
    <mergeCell ref="N3:R3"/>
    <mergeCell ref="A11:F11"/>
    <mergeCell ref="H11:J11"/>
    <mergeCell ref="T13:W13"/>
    <mergeCell ref="T14:T15"/>
    <mergeCell ref="U14:U15"/>
    <mergeCell ref="Q14:R15"/>
    <mergeCell ref="S14:S15"/>
    <mergeCell ref="W14:W15"/>
    <mergeCell ref="A10:B10"/>
    <mergeCell ref="Q10:R10"/>
    <mergeCell ref="F14:F15"/>
    <mergeCell ref="G14:H14"/>
    <mergeCell ref="I14:J14"/>
    <mergeCell ref="A15:B15"/>
    <mergeCell ref="K11:L11"/>
    <mergeCell ref="A14:B14"/>
    <mergeCell ref="C14:E15"/>
    <mergeCell ref="C10:M10"/>
    <mergeCell ref="M24:N24"/>
    <mergeCell ref="M23:N23"/>
    <mergeCell ref="M14:N15"/>
    <mergeCell ref="C37:E37"/>
    <mergeCell ref="I66:L66"/>
    <mergeCell ref="N66:R66"/>
    <mergeCell ref="A58:P58"/>
    <mergeCell ref="A60:P60"/>
    <mergeCell ref="B62:C62"/>
    <mergeCell ref="Q59:R59"/>
    <mergeCell ref="Q58:R58"/>
    <mergeCell ref="A61:P61"/>
    <mergeCell ref="A59:P59"/>
    <mergeCell ref="A66:D66"/>
    <mergeCell ref="Q60:R61"/>
    <mergeCell ref="K14:L14"/>
    <mergeCell ref="C25:E25"/>
    <mergeCell ref="C26:E26"/>
    <mergeCell ref="C27:E27"/>
    <mergeCell ref="A57:P57"/>
    <mergeCell ref="M53:N53"/>
    <mergeCell ref="M45:N45"/>
    <mergeCell ref="M44:N44"/>
    <mergeCell ref="M43:N43"/>
    <mergeCell ref="W60:W61"/>
    <mergeCell ref="AA60:AA61"/>
    <mergeCell ref="Q41:R41"/>
    <mergeCell ref="Q49:R49"/>
    <mergeCell ref="Q57:R57"/>
    <mergeCell ref="Q56:R56"/>
    <mergeCell ref="Q55:R55"/>
    <mergeCell ref="Q54:R54"/>
    <mergeCell ref="Q50:R50"/>
    <mergeCell ref="Q51:R51"/>
    <mergeCell ref="Q52:R52"/>
    <mergeCell ref="Q53:R53"/>
    <mergeCell ref="Q44:R44"/>
    <mergeCell ref="Q45:R45"/>
    <mergeCell ref="Q46:R46"/>
    <mergeCell ref="Q47:R47"/>
    <mergeCell ref="Q48:R48"/>
    <mergeCell ref="Q43:R43"/>
    <mergeCell ref="Q42:R42"/>
    <mergeCell ref="S60:S61"/>
    <mergeCell ref="A56:P56"/>
    <mergeCell ref="C52:E52"/>
    <mergeCell ref="C53:E53"/>
    <mergeCell ref="A55:P55"/>
    <mergeCell ref="C51:E51"/>
    <mergeCell ref="C47:E47"/>
    <mergeCell ref="C48:E48"/>
    <mergeCell ref="C49:E49"/>
    <mergeCell ref="C50:E50"/>
    <mergeCell ref="O54:P54"/>
    <mergeCell ref="M52:N52"/>
    <mergeCell ref="M51:N51"/>
    <mergeCell ref="M50:N50"/>
    <mergeCell ref="M49:N49"/>
    <mergeCell ref="M48:N48"/>
    <mergeCell ref="M47:N47"/>
    <mergeCell ref="C42:E42"/>
    <mergeCell ref="C28:E28"/>
    <mergeCell ref="C29:E29"/>
    <mergeCell ref="C30:E30"/>
    <mergeCell ref="M33:N33"/>
    <mergeCell ref="C43:E43"/>
    <mergeCell ref="C44:E44"/>
    <mergeCell ref="C45:E45"/>
    <mergeCell ref="C46:E46"/>
    <mergeCell ref="C31:E31"/>
    <mergeCell ref="C32:E32"/>
    <mergeCell ref="C33:E33"/>
    <mergeCell ref="C34:E34"/>
    <mergeCell ref="M46:N46"/>
    <mergeCell ref="M42:N42"/>
    <mergeCell ref="M32:N32"/>
    <mergeCell ref="M31:N31"/>
    <mergeCell ref="M30:N30"/>
    <mergeCell ref="M29:N29"/>
    <mergeCell ref="M28:N28"/>
    <mergeCell ref="C35:E35"/>
    <mergeCell ref="C36:E36"/>
    <mergeCell ref="C38:E38"/>
    <mergeCell ref="C39:E39"/>
    <mergeCell ref="C40:E40"/>
    <mergeCell ref="C41:E41"/>
    <mergeCell ref="C23:E23"/>
    <mergeCell ref="C24:E24"/>
    <mergeCell ref="N5:R5"/>
    <mergeCell ref="N7:R7"/>
    <mergeCell ref="M11:P11"/>
    <mergeCell ref="Q25:R25"/>
    <mergeCell ref="Q24:R24"/>
    <mergeCell ref="O14:P14"/>
    <mergeCell ref="M12:P12"/>
    <mergeCell ref="Q16:R16"/>
    <mergeCell ref="Q17:R17"/>
    <mergeCell ref="Q18:R18"/>
    <mergeCell ref="Q19:R19"/>
    <mergeCell ref="B5:E5"/>
    <mergeCell ref="N6:R6"/>
    <mergeCell ref="M27:N27"/>
    <mergeCell ref="M26:N26"/>
    <mergeCell ref="M25:N25"/>
    <mergeCell ref="Q34:R34"/>
    <mergeCell ref="M41:N41"/>
    <mergeCell ref="M40:N40"/>
    <mergeCell ref="M39:N39"/>
    <mergeCell ref="M38:N38"/>
    <mergeCell ref="M37:N37"/>
    <mergeCell ref="M36:N36"/>
    <mergeCell ref="M35:N35"/>
    <mergeCell ref="M34:N34"/>
    <mergeCell ref="Q40:R40"/>
    <mergeCell ref="Q35:R35"/>
    <mergeCell ref="Q36:R36"/>
    <mergeCell ref="Q37:R37"/>
    <mergeCell ref="Q38:R38"/>
    <mergeCell ref="Q39:R39"/>
  </mergeCells>
  <conditionalFormatting sqref="O23:P53 F23:M53">
    <cfRule type="expression" dxfId="16" priority="28">
      <formula>IF($A23="-",FALSE,TRUE)</formula>
    </cfRule>
  </conditionalFormatting>
  <conditionalFormatting sqref="A23:D53">
    <cfRule type="expression" dxfId="15" priority="26">
      <formula>IF(ISERR(SEARCH(IF(_JAZYK&lt;&gt;"en","so","Sa"),$B23))=TRUE,FALSE,TRUE)</formula>
    </cfRule>
    <cfRule type="expression" dxfId="14" priority="27">
      <formula>IF(ISERR(SEARCH(IF(_JAZYK&lt;&gt;"en","ne","Su"),$B23))=TRUE,FALSE,TRUE)</formula>
    </cfRule>
    <cfRule type="expression" dxfId="13" priority="29">
      <formula>IF(LEN($B23)&gt;2,TRUE,FALSE)</formula>
    </cfRule>
  </conditionalFormatting>
  <conditionalFormatting sqref="T23:U53">
    <cfRule type="expression" dxfId="12" priority="24">
      <formula>IF(TRIM($V23)="0:00",FALSE,IF(OR($T23="",$U23=""),FALSE,TRUE))</formula>
    </cfRule>
  </conditionalFormatting>
  <conditionalFormatting sqref="T23:U53">
    <cfRule type="expression" dxfId="11" priority="25">
      <formula>IF(T23="",FALSE,TRUE)</formula>
    </cfRule>
  </conditionalFormatting>
  <conditionalFormatting sqref="S1:S12 S23:S59">
    <cfRule type="expression" dxfId="10" priority="17">
      <formula>+IF(S1="❢",TRUE,FALSE)</formula>
    </cfRule>
  </conditionalFormatting>
  <conditionalFormatting sqref="G23:L53">
    <cfRule type="expression" dxfId="9" priority="16">
      <formula>NOT(_xlfn.ISFORMULA(G23))</formula>
    </cfRule>
  </conditionalFormatting>
  <conditionalFormatting sqref="S60">
    <cfRule type="expression" dxfId="8" priority="6">
      <formula>+IF(LEFT(TRIM($Q$60),1)="0",TRUE,FALSE)</formula>
    </cfRule>
    <cfRule type="expression" dxfId="7" priority="30">
      <formula>+IF(LEFT($Q$60)="-",TRUE,FALSE)</formula>
    </cfRule>
  </conditionalFormatting>
  <conditionalFormatting sqref="Q12:R12">
    <cfRule type="expression" dxfId="6" priority="9">
      <formula>IF($M$12="",TRUE,FALSE)</formula>
    </cfRule>
  </conditionalFormatting>
  <conditionalFormatting sqref="Q60">
    <cfRule type="expression" dxfId="5" priority="22">
      <formula>+IF(LEFT(TRIM($Q$60),1)="0",TRUE,FALSE)</formula>
    </cfRule>
    <cfRule type="expression" dxfId="4" priority="23">
      <formula>+IF(LEFT($Q$60)="-",TRUE,FALSE)</formula>
    </cfRule>
  </conditionalFormatting>
  <conditionalFormatting sqref="Q55:R55">
    <cfRule type="expression" dxfId="3" priority="8">
      <formula>IF($A$55="",TRUE,FALSE)</formula>
    </cfRule>
  </conditionalFormatting>
  <conditionalFormatting sqref="S60:S61">
    <cfRule type="expression" dxfId="2" priority="31">
      <formula>+IF(LEFT($Q$60)="+",TRUE,FALSE)</formula>
    </cfRule>
  </conditionalFormatting>
  <conditionalFormatting sqref="Q60:R61">
    <cfRule type="expression" dxfId="1" priority="5">
      <formula>+IF(LEFT($Q$60)="+",TRUE,FALSE)</formula>
    </cfRule>
  </conditionalFormatting>
  <conditionalFormatting sqref="V23:V53">
    <cfRule type="expression" dxfId="0" priority="4">
      <formula>IF(V23="",FALSE,TRUE)</formula>
    </cfRule>
  </conditionalFormatting>
  <dataValidations xWindow="299" yWindow="1011" count="18">
    <dataValidation type="list" allowBlank="1" showInputMessage="1" showErrorMessage="1" promptTitle="Druh pracovněprávního vztahu" prompt="PP - pracovní poměr_x000a_DPČ - doh. o pracovní činnosti_x000a_DPP - doh. o provedení práce" sqref="N5:R5">
      <formula1>"PP,DPČ,DPP"</formula1>
    </dataValidation>
    <dataValidation type="list" allowBlank="1" showInputMessage="1" showErrorMessage="1" promptTitle="Znaménko korekce (plus/mínus)" prompt="Určení kladné nebo záporné korekce (kladná není povinná)" sqref="O23:O53">
      <formula1>"+,-"</formula1>
    </dataValidation>
    <dataValidation type="decimal" allowBlank="1" showInputMessage="1" showErrorMessage="1" errorTitle="Chyba" error="Číslo není v rozmezí 0 až 40 hodin týdně." promptTitle="Výše týdenního úvazku v hodinách" prompt="Vyplňuje se jen pro PP_x000a_Zjistitelné na zam.vse.cz_x000a_Číslo v rozmezí 0 až 40,0 hodin" sqref="N6:R6">
      <formula1>0</formula1>
      <formula2>40</formula2>
    </dataValidation>
    <dataValidation type="time" allowBlank="1" showInputMessage="1" showErrorMessage="1" errorTitle="Chyba" error="Zadaný čas může být jen v rozmezí 6:00 až 22:00." sqref="G23:L53 G2:L6">
      <formula1>0.25</formula1>
      <formula2>0.916666666666667</formula2>
    </dataValidation>
    <dataValidation type="time" allowBlank="1" showInputMessage="1" showErrorMessage="1" errorTitle="Čas" error="Čas musí být mezi xxx" sqref="V1:V2">
      <formula1>0.0201388888888889</formula1>
      <formula2>0.916666666666667</formula2>
    </dataValidation>
    <dataValidation type="whole" allowBlank="1" showInputMessage="1" showErrorMessage="1" errorTitle="Chyba" error="Zadejte číslo měsíce v rozmezí 1 a 12." promptTitle="Zadejte číslo měsíce" prompt=" " sqref="C2">
      <formula1>1</formula1>
      <formula2>12</formula2>
    </dataValidation>
    <dataValidation allowBlank="1" showInputMessage="1" showErrorMessage="1" promptTitle="Číslo/název útvaru" prompt="případně lze zadat název projektu" sqref="N3:R3"/>
    <dataValidation type="list" allowBlank="1" showInputMessage="1" showErrorMessage="1" promptTitle="Znaménko salda (plus/mínus)" prompt="Určení kladného nebo záporného salda (plus není povinné)" sqref="Q12">
      <formula1>"+,-"</formula1>
    </dataValidation>
    <dataValidation type="custom" allowBlank="1" showInputMessage="1" showErrorMessage="1" errorTitle="Chyba" error="Není ve formátu hh:mm" promptTitle="Rozdíl hodin z minulého měsíce" prompt="Zadejte &quot;Rozdíl 'odpracováno + neodpracováno' vůči hodinám k odpracování&quot; z předchozího měsíce" sqref="R12">
      <formula1>T12</formula1>
    </dataValidation>
    <dataValidation type="custom" allowBlank="1" showErrorMessage="1" errorTitle="Chyba" error="Není ve formátu hh:mm" promptTitle="Počet nerozvrhovaných hodin" prompt="Zadává se jen u akademických pracovníků ve tvaru hh:mm " sqref="Q55:R55">
      <formula1>T55</formula1>
    </dataValidation>
    <dataValidation type="whole" allowBlank="1" showInputMessage="1" showErrorMessage="1" errorTitle="Chyba" error="Rok lze zadat v v intervalu aktuální rok ±1 rok." promptTitle="Zadejte rok" prompt="ve tvaru RRRR" sqref="D2">
      <formula1>YEAR(TODAY())-1</formula1>
      <formula2>YEAR(TODAY())+1</formula2>
    </dataValidation>
    <dataValidation type="custom" allowBlank="1" showInputMessage="1" showErrorMessage="1" errorTitle="Chyba" error="Datum není v formátu DD.MM.RRRR. Nebo datum není v intervalu posledního dne měsíce až plus jeden měsíc." promptTitle="Datum zpracování" prompt="Datum ve formátu DD.MM.RRRR. Datum je v intervalu posledního dne měsíce až plus jeden měsíc." sqref="B62:C62">
      <formula1>IF(AND($B$62&gt;=EOMONTH(DATE(_ROK,_MESIC,1),0),$B$62&lt;=EOMONTH(DATE(_ROK,_MESIC,1),1)),TRUE,FALSE)</formula1>
    </dataValidation>
    <dataValidation type="time" allowBlank="1" showInputMessage="1" showErrorMessage="1" errorTitle="Chyba" error="Korekce může být jen do výše 12 h." promptTitle="Korekce odpracované doby" prompt="Slouží pro korekci přechozích časových údajů v řádku týkající se odpracované doby. Zadává se ve tvaru h:mm (max. 12 h)." sqref="P23:P53">
      <formula1>0</formula1>
      <formula2>0.5</formula2>
    </dataValidation>
    <dataValidation type="list" allowBlank="1" showDropDown="1" sqref="B6:E6">
      <formula1>"cs,en"</formula1>
    </dataValidation>
    <dataValidation type="list" allowBlank="1" showDropDown="1" showErrorMessage="1" sqref="A1">
      <formula1>"cs,en"</formula1>
    </dataValidation>
    <dataValidation type="list" allowBlank="1" showInputMessage="1" showErrorMessage="1" errorTitle="Chyba" error="Zadaný údaj neodpovídá povoleným znakům. Vyberte údaj z nabídky." promptTitle="Úprava výchozího statusu dne:" prompt="P - odpracováno_x000a_D - dovolená celý den (d=půlden)_x000a_N - pracovní neschopnost_x000a_T - tvůrčí volno_x000a_O - ostatní (§,nepl.volno...)_x000a_-" sqref="F23:F53">
      <formula1>"P,D,d,N,T,O,-"</formula1>
    </dataValidation>
    <dataValidation type="custom" allowBlank="1" showInputMessage="1" showErrorMessage="1" errorTitle="Chyba" error="OSČPV je k dispozici na zam.vse.cz_x000a_Zadává se ve tvaru:_x000a_Osobní číslo [tečka] číslo prac. Vztahu" promptTitle="Osob.číslo s číslem prac. vztahu" prompt=" " sqref="N4:O4">
      <formula1>IF(ISERR(SEARCH(".",N4)),FALSE,IF(NOT(ISNUMBER(1*LEFT(N4,SEARCH(".",N4)-1))),FALSE,IF(NOT(ISNUMBER(1*MID(N4,SEARCH(".",N4)+1,LEN(N4)))),FALSE,TRUE)))</formula1>
    </dataValidation>
    <dataValidation type="list" allowBlank="1" showInputMessage="1" showErrorMessage="1" promptTitle="Pozice akademika ANO/NE" prompt="ANO=profesor, docent, odborný asistent, asistent, lektor_x000a_NE=vědeckovýzkumní, THP, obchodně-provozní pracovníci, dělníci" sqref="R4">
      <formula1>$D$16:$E$16</formula1>
    </dataValidation>
  </dataValidations>
  <hyperlinks>
    <hyperlink ref="B6" r:id="rId1" display="Stažení aktuálního formuláře"/>
    <hyperlink ref="B6:E6" r:id="rId2" display="Stažení formuláře z webu"/>
  </hyperlinks>
  <pageMargins left="0.62992125984251968" right="0.39370078740157483" top="0.78740157480314965" bottom="0.78740157480314965" header="0.31496062992125984" footer="0.31496062992125984"/>
  <pageSetup paperSize="9" scale="78" orientation="portrait" blackAndWhite="1" r:id="rId3"/>
  <ignoredErrors>
    <ignoredError sqref="B62 G23:L53 P4" unlocked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7" r:id="rId6" name="Button 43">
              <controlPr defaultSize="0" print="0" autoFill="0" autoPict="0" macro="[0]!ThisWorkbook.zmen_jazyk">
                <anchor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160020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Button 45">
              <controlPr defaultSize="0" print="0" autoFill="0" autoPict="0" macro="[0]!ThisWorkbook.vytvor_rok_s_listy">
                <anchor>
                  <from>
                    <xdr:col>1</xdr:col>
                    <xdr:colOff>22860</xdr:colOff>
                    <xdr:row>4</xdr:row>
                    <xdr:rowOff>0</xdr:rowOff>
                  </from>
                  <to>
                    <xdr:col>4</xdr:col>
                    <xdr:colOff>358140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" name="Button 48">
              <controlPr defaultSize="0" print="0" autoFill="0" autoPict="0" macro="[0]!ThisWorkbook.nastav_nazev_listu">
                <anchor moveWithCells="1" sizeWithCells="1">
                  <from>
                    <xdr:col>4</xdr:col>
                    <xdr:colOff>7620</xdr:colOff>
                    <xdr:row>0</xdr:row>
                    <xdr:rowOff>91440</xdr:rowOff>
                  </from>
                  <to>
                    <xdr:col>4</xdr:col>
                    <xdr:colOff>358140</xdr:colOff>
                    <xdr:row>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17</vt:i4>
      </vt:variant>
    </vt:vector>
  </HeadingPairs>
  <TitlesOfParts>
    <vt:vector size="20" baseType="lpstr">
      <vt:lpstr>POPIS</vt:lpstr>
      <vt:lpstr>DOTAZY</vt:lpstr>
      <vt:lpstr>EVIDENCE</vt:lpstr>
      <vt:lpstr>_AKADEMIK</vt:lpstr>
      <vt:lpstr>_DRUH_PV</vt:lpstr>
      <vt:lpstr>EVIDENCE!_FPD_BEZ_SV</vt:lpstr>
      <vt:lpstr>_JAZYK</vt:lpstr>
      <vt:lpstr>EVIDENCE!_MESIC</vt:lpstr>
      <vt:lpstr>EVIDENCE!_NV_CERPANO</vt:lpstr>
      <vt:lpstr>EVIDENCE!_NV_MIN_MES</vt:lpstr>
      <vt:lpstr>_NV_MIN_MES_ZNAM</vt:lpstr>
      <vt:lpstr>EVIDENCE!_ROK</vt:lpstr>
      <vt:lpstr>EVIDENCE!_TAB_DEN_D</vt:lpstr>
      <vt:lpstr>EVIDENCE!_TAB_DEN_DDD</vt:lpstr>
      <vt:lpstr>EVIDENCE!_UVAZEK_HOD_MES</vt:lpstr>
      <vt:lpstr>EVIDENCE!_UVAZEK_HOD_TYD</vt:lpstr>
      <vt:lpstr>EVIDENCE!_UVAZEK_KOEF</vt:lpstr>
      <vt:lpstr>DOTAZY!Oblast_tisku</vt:lpstr>
      <vt:lpstr>EVIDENCE!Oblast_tisku</vt:lpstr>
      <vt:lpstr>POPIS!Oblast_tisku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Šreibr</dc:creator>
  <cp:lastModifiedBy>sreibr</cp:lastModifiedBy>
  <cp:lastPrinted>2019-12-30T11:44:30Z</cp:lastPrinted>
  <dcterms:created xsi:type="dcterms:W3CDTF">2019-10-01T12:31:53Z</dcterms:created>
  <dcterms:modified xsi:type="dcterms:W3CDTF">2020-01-14T11:50:28Z</dcterms:modified>
</cp:coreProperties>
</file>